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515"/>
  <workbookPr autoCompressPictures="0"/>
  <bookViews>
    <workbookView xWindow="100" yWindow="0" windowWidth="20440" windowHeight="15560" tabRatio="912" activeTab="2"/>
  </bookViews>
  <sheets>
    <sheet name="Forsíða" sheetId="7" r:id="rId1"/>
    <sheet name="Kostnaður verkáætlunar" sheetId="9" r:id="rId2"/>
    <sheet name="Yfirlit" sheetId="1" r:id="rId3"/>
    <sheet name="Rekstur" sheetId="8" r:id="rId4"/>
    <sheet name="Forsendur Veltu" sheetId="4" r:id="rId5"/>
    <sheet name="Innlend verðmæti" sheetId="10" r:id="rId6"/>
    <sheet name="Forsendur Innl.verðm." sheetId="11" r:id="rId7"/>
    <sheet name="Lykiltölur" sheetId="5" r:id="rId8"/>
  </sheets>
  <definedNames>
    <definedName name="_xlnm.Print_Titles" localSheetId="1">'Kostnaður verkáætlunar'!$A:$A</definedName>
    <definedName name="Vextir" localSheetId="3">Rekstur!$E$40</definedName>
    <definedName name="Vextir">'Innlend verðmæti'!$E$10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18" i="9" l="1"/>
  <c r="AO24" i="9"/>
  <c r="AO36" i="9"/>
  <c r="AO42" i="9"/>
  <c r="AO45" i="9"/>
  <c r="AN18" i="9"/>
  <c r="AN24" i="9"/>
  <c r="AN36" i="9"/>
  <c r="AN42" i="9"/>
  <c r="AN45" i="9"/>
  <c r="AM18" i="9"/>
  <c r="AM24" i="9"/>
  <c r="AM36" i="9"/>
  <c r="AM42" i="9"/>
  <c r="AM45" i="9"/>
  <c r="AL18" i="9"/>
  <c r="AL24" i="9"/>
  <c r="AL36" i="9"/>
  <c r="AL42" i="9"/>
  <c r="AL45" i="9"/>
  <c r="AK18" i="9"/>
  <c r="AK24" i="9"/>
  <c r="AK36" i="9"/>
  <c r="AK42" i="9"/>
  <c r="AK45" i="9"/>
  <c r="AJ18" i="9"/>
  <c r="AJ24" i="9"/>
  <c r="AJ36" i="9"/>
  <c r="AJ42" i="9"/>
  <c r="AJ45" i="9"/>
  <c r="AI18" i="9"/>
  <c r="AI24" i="9"/>
  <c r="AI36" i="9"/>
  <c r="AI42" i="9"/>
  <c r="AI45" i="9"/>
  <c r="AH18" i="9"/>
  <c r="AH24" i="9"/>
  <c r="AH36" i="9"/>
  <c r="AH42" i="9"/>
  <c r="AH45" i="9"/>
  <c r="AG18" i="9"/>
  <c r="AG24" i="9"/>
  <c r="AG36" i="9"/>
  <c r="AG42" i="9"/>
  <c r="AG45" i="9"/>
  <c r="AF18" i="9"/>
  <c r="AF24" i="9"/>
  <c r="AF36" i="9"/>
  <c r="AF42" i="9"/>
  <c r="AF45" i="9"/>
  <c r="AE18" i="9"/>
  <c r="AE24" i="9"/>
  <c r="AE36" i="9"/>
  <c r="AE42" i="9"/>
  <c r="AE45" i="9"/>
  <c r="AD18" i="9"/>
  <c r="AD24" i="9"/>
  <c r="AD36" i="9"/>
  <c r="AD42" i="9"/>
  <c r="AD45" i="9"/>
  <c r="AA18" i="9"/>
  <c r="AA24" i="9"/>
  <c r="AA36" i="9"/>
  <c r="AA42" i="9"/>
  <c r="AA45" i="9"/>
  <c r="Z18" i="9"/>
  <c r="Z24" i="9"/>
  <c r="Z36" i="9"/>
  <c r="Z42" i="9"/>
  <c r="Z45" i="9"/>
  <c r="Y18" i="9"/>
  <c r="Y24" i="9"/>
  <c r="Y36" i="9"/>
  <c r="Y42" i="9"/>
  <c r="Y45" i="9"/>
  <c r="X18" i="9"/>
  <c r="X24" i="9"/>
  <c r="X36" i="9"/>
  <c r="X42" i="9"/>
  <c r="X45" i="9"/>
  <c r="W18" i="9"/>
  <c r="W24" i="9"/>
  <c r="W36" i="9"/>
  <c r="W42" i="9"/>
  <c r="W45" i="9"/>
  <c r="V18" i="9"/>
  <c r="V24" i="9"/>
  <c r="V36" i="9"/>
  <c r="V42" i="9"/>
  <c r="V45" i="9"/>
  <c r="U18" i="9"/>
  <c r="U24" i="9"/>
  <c r="U36" i="9"/>
  <c r="U42" i="9"/>
  <c r="U45" i="9"/>
  <c r="T18" i="9"/>
  <c r="T24" i="9"/>
  <c r="T36" i="9"/>
  <c r="T42" i="9"/>
  <c r="T45" i="9"/>
  <c r="S18" i="9"/>
  <c r="S24" i="9"/>
  <c r="S36" i="9"/>
  <c r="S42" i="9"/>
  <c r="S45" i="9"/>
  <c r="R18" i="9"/>
  <c r="R24" i="9"/>
  <c r="R36" i="9"/>
  <c r="R42" i="9"/>
  <c r="R45" i="9"/>
  <c r="Q18" i="9"/>
  <c r="Q24" i="9"/>
  <c r="Q36" i="9"/>
  <c r="Q42" i="9"/>
  <c r="Q45" i="9"/>
  <c r="P18" i="9"/>
  <c r="P24" i="9"/>
  <c r="P36" i="9"/>
  <c r="P42" i="9"/>
  <c r="P45" i="9"/>
  <c r="M18" i="9"/>
  <c r="M24" i="9"/>
  <c r="M36" i="9"/>
  <c r="M42" i="9"/>
  <c r="M45" i="9"/>
  <c r="L18" i="9"/>
  <c r="L24" i="9"/>
  <c r="L36" i="9"/>
  <c r="L42" i="9"/>
  <c r="L45" i="9"/>
  <c r="K18" i="9"/>
  <c r="K24" i="9"/>
  <c r="K36" i="9"/>
  <c r="K42" i="9"/>
  <c r="K45" i="9"/>
  <c r="J18" i="9"/>
  <c r="J24" i="9"/>
  <c r="J36" i="9"/>
  <c r="J42" i="9"/>
  <c r="J45" i="9"/>
  <c r="I18" i="9"/>
  <c r="I24" i="9"/>
  <c r="I36" i="9"/>
  <c r="I42" i="9"/>
  <c r="I45" i="9"/>
  <c r="H18" i="9"/>
  <c r="H24" i="9"/>
  <c r="H36" i="9"/>
  <c r="H42" i="9"/>
  <c r="H45" i="9"/>
  <c r="G18" i="9"/>
  <c r="G24" i="9"/>
  <c r="G36" i="9"/>
  <c r="G42" i="9"/>
  <c r="G45" i="9"/>
  <c r="F18" i="9"/>
  <c r="F24" i="9"/>
  <c r="F36" i="9"/>
  <c r="F42" i="9"/>
  <c r="F45" i="9"/>
  <c r="E18" i="9"/>
  <c r="E24" i="9"/>
  <c r="E36" i="9"/>
  <c r="E42" i="9"/>
  <c r="E45" i="9"/>
  <c r="D18" i="9"/>
  <c r="D24" i="9"/>
  <c r="D36" i="9"/>
  <c r="D42" i="9"/>
  <c r="D45" i="9"/>
  <c r="C18" i="9"/>
  <c r="C24" i="9"/>
  <c r="C36" i="9"/>
  <c r="C42" i="9"/>
  <c r="C45" i="9"/>
  <c r="B18" i="9"/>
  <c r="B24" i="9"/>
  <c r="B36" i="9"/>
  <c r="B42" i="9"/>
  <c r="B45" i="9"/>
  <c r="E11" i="1"/>
  <c r="E9" i="8"/>
  <c r="F9" i="8"/>
  <c r="G9" i="8"/>
  <c r="H9" i="8"/>
  <c r="I9" i="8"/>
  <c r="J9" i="8"/>
  <c r="K9" i="8"/>
  <c r="K19" i="8"/>
  <c r="J19" i="8"/>
  <c r="I19" i="8"/>
  <c r="H19" i="8"/>
  <c r="G19" i="8"/>
  <c r="F19" i="8"/>
  <c r="E19" i="8"/>
  <c r="D19" i="8"/>
  <c r="C19" i="8"/>
  <c r="B19" i="8"/>
  <c r="K18" i="8"/>
  <c r="J18" i="8"/>
  <c r="I18" i="8"/>
  <c r="H18" i="8"/>
  <c r="G18" i="8"/>
  <c r="F18" i="8"/>
  <c r="E18" i="8"/>
  <c r="D18" i="8"/>
  <c r="C18" i="8"/>
  <c r="B18" i="8"/>
  <c r="L9" i="8"/>
  <c r="M9" i="8"/>
  <c r="N9" i="8"/>
  <c r="O9" i="8"/>
  <c r="P9" i="8"/>
  <c r="Q9" i="8"/>
  <c r="R9" i="8"/>
  <c r="S9" i="8"/>
  <c r="T9" i="8"/>
  <c r="U9" i="8"/>
  <c r="K12" i="8"/>
  <c r="J12" i="8"/>
  <c r="I12" i="8"/>
  <c r="H12" i="8"/>
  <c r="G12" i="8"/>
  <c r="F12" i="8"/>
  <c r="E12" i="8"/>
  <c r="D12" i="8"/>
  <c r="C12" i="8"/>
  <c r="B12" i="8"/>
  <c r="L12" i="8"/>
  <c r="M12" i="8"/>
  <c r="N12" i="8"/>
  <c r="O12" i="8"/>
  <c r="P12" i="8"/>
  <c r="Q12" i="8"/>
  <c r="R12" i="8"/>
  <c r="S12" i="8"/>
  <c r="T12" i="8"/>
  <c r="U12" i="8"/>
  <c r="B17" i="8"/>
  <c r="B26" i="8"/>
  <c r="B28" i="8"/>
  <c r="B31" i="8"/>
  <c r="B34" i="8"/>
  <c r="B36" i="8"/>
  <c r="E31" i="8"/>
  <c r="D28" i="8"/>
  <c r="D31" i="8"/>
  <c r="C28" i="8"/>
  <c r="C31" i="8"/>
  <c r="D17" i="8"/>
  <c r="C17" i="8"/>
  <c r="F11" i="1"/>
  <c r="G11" i="1"/>
  <c r="AB7" i="9"/>
  <c r="N54" i="9"/>
  <c r="AB8" i="9"/>
  <c r="N55" i="9"/>
  <c r="AB9" i="9"/>
  <c r="N56" i="9"/>
  <c r="AB10" i="9"/>
  <c r="N57" i="9"/>
  <c r="AB11" i="9"/>
  <c r="N58" i="9"/>
  <c r="AB12" i="9"/>
  <c r="N59" i="9"/>
  <c r="AB13" i="9"/>
  <c r="N60" i="9"/>
  <c r="AB16" i="9"/>
  <c r="N61" i="9"/>
  <c r="AB17" i="9"/>
  <c r="N62" i="9"/>
  <c r="N63" i="9"/>
  <c r="AP7" i="9"/>
  <c r="O54" i="9"/>
  <c r="AP8" i="9"/>
  <c r="O55" i="9"/>
  <c r="AP9" i="9"/>
  <c r="O56" i="9"/>
  <c r="AP10" i="9"/>
  <c r="O57" i="9"/>
  <c r="AP11" i="9"/>
  <c r="O58" i="9"/>
  <c r="AP12" i="9"/>
  <c r="O59" i="9"/>
  <c r="AP13" i="9"/>
  <c r="O60" i="9"/>
  <c r="AP16" i="9"/>
  <c r="O61" i="9"/>
  <c r="AP17" i="9"/>
  <c r="O62" i="9"/>
  <c r="O63" i="9"/>
  <c r="N7" i="9"/>
  <c r="M54" i="9"/>
  <c r="N8" i="9"/>
  <c r="M55" i="9"/>
  <c r="N9" i="9"/>
  <c r="M56" i="9"/>
  <c r="N10" i="9"/>
  <c r="M57" i="9"/>
  <c r="N11" i="9"/>
  <c r="M58" i="9"/>
  <c r="N12" i="9"/>
  <c r="M59" i="9"/>
  <c r="N13" i="9"/>
  <c r="M60" i="9"/>
  <c r="N16" i="9"/>
  <c r="M61" i="9"/>
  <c r="N17" i="9"/>
  <c r="M62" i="9"/>
  <c r="M63" i="9"/>
  <c r="AP15" i="9"/>
  <c r="O65" i="9"/>
  <c r="AP14" i="9"/>
  <c r="O64" i="9"/>
  <c r="AR16" i="9"/>
  <c r="AR17" i="9"/>
  <c r="AF30" i="9"/>
  <c r="AH30" i="9"/>
  <c r="AJ30" i="9"/>
  <c r="AL30" i="9"/>
  <c r="AO30" i="9"/>
  <c r="AB15" i="9"/>
  <c r="N65" i="9"/>
  <c r="AB14" i="9"/>
  <c r="N64" i="9"/>
  <c r="T30" i="9"/>
  <c r="V30" i="9"/>
  <c r="Y30" i="9"/>
  <c r="AA30" i="9"/>
  <c r="E30" i="9"/>
  <c r="G30" i="9"/>
  <c r="H30" i="9"/>
  <c r="K30" i="9"/>
  <c r="K61" i="9"/>
  <c r="K62" i="9"/>
  <c r="M66" i="9"/>
  <c r="N14" i="9"/>
  <c r="M64" i="9"/>
  <c r="N15" i="9"/>
  <c r="M65" i="9"/>
  <c r="M67" i="9"/>
  <c r="M68" i="9"/>
  <c r="M69" i="9"/>
  <c r="M70" i="9"/>
  <c r="B30" i="9"/>
  <c r="K59" i="9"/>
  <c r="K56" i="9"/>
  <c r="K55" i="9"/>
  <c r="K54" i="9"/>
  <c r="K57" i="9"/>
  <c r="K58" i="9"/>
  <c r="K60" i="9"/>
  <c r="K64" i="9"/>
  <c r="K65" i="9"/>
  <c r="K66" i="9"/>
  <c r="N66" i="9"/>
  <c r="O66" i="9"/>
  <c r="N67" i="9"/>
  <c r="O67" i="9"/>
  <c r="K68" i="9"/>
  <c r="N68" i="9"/>
  <c r="O68" i="9"/>
  <c r="K69" i="9"/>
  <c r="N69" i="9"/>
  <c r="O69" i="9"/>
  <c r="K70" i="9"/>
  <c r="N70" i="9"/>
  <c r="O70" i="9"/>
  <c r="M71" i="9"/>
  <c r="N71" i="9"/>
  <c r="O71" i="9"/>
  <c r="F26" i="8"/>
  <c r="F31" i="8"/>
  <c r="F34" i="8"/>
  <c r="F36" i="8"/>
  <c r="G26" i="8"/>
  <c r="G31" i="8"/>
  <c r="G34" i="8"/>
  <c r="G36" i="8"/>
  <c r="H26" i="8"/>
  <c r="H31" i="8"/>
  <c r="H34" i="8"/>
  <c r="H36" i="8"/>
  <c r="I26" i="8"/>
  <c r="I31" i="8"/>
  <c r="I34" i="8"/>
  <c r="I36" i="8"/>
  <c r="J26" i="8"/>
  <c r="J31" i="8"/>
  <c r="J34" i="8"/>
  <c r="J36" i="8"/>
  <c r="K26" i="8"/>
  <c r="K31" i="8"/>
  <c r="K34" i="8"/>
  <c r="K36" i="8"/>
  <c r="L26" i="8"/>
  <c r="L31" i="8"/>
  <c r="L34" i="8"/>
  <c r="L36" i="8"/>
  <c r="M26" i="8"/>
  <c r="M31" i="8"/>
  <c r="M34" i="8"/>
  <c r="M36" i="8"/>
  <c r="N26" i="8"/>
  <c r="N31" i="8"/>
  <c r="N34" i="8"/>
  <c r="N36" i="8"/>
  <c r="O26" i="8"/>
  <c r="O31" i="8"/>
  <c r="O34" i="8"/>
  <c r="O36" i="8"/>
  <c r="P26" i="8"/>
  <c r="P31" i="8"/>
  <c r="P34" i="8"/>
  <c r="P36" i="8"/>
  <c r="Q26" i="8"/>
  <c r="Q31" i="8"/>
  <c r="Q34" i="8"/>
  <c r="Q36" i="8"/>
  <c r="R26" i="8"/>
  <c r="R31" i="8"/>
  <c r="R34" i="8"/>
  <c r="R36" i="8"/>
  <c r="S26" i="8"/>
  <c r="S31" i="8"/>
  <c r="S34" i="8"/>
  <c r="S36" i="8"/>
  <c r="T26" i="8"/>
  <c r="T31" i="8"/>
  <c r="T34" i="8"/>
  <c r="T36" i="8"/>
  <c r="U26" i="8"/>
  <c r="U31" i="8"/>
  <c r="U34" i="8"/>
  <c r="U36" i="8"/>
  <c r="C34" i="8"/>
  <c r="D34" i="8"/>
  <c r="E34" i="8"/>
  <c r="V34" i="8"/>
  <c r="V31" i="8"/>
  <c r="C26" i="8"/>
  <c r="C36" i="8"/>
  <c r="D26" i="8"/>
  <c r="D36" i="8"/>
  <c r="E26" i="8"/>
  <c r="E36" i="8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P42" i="9"/>
  <c r="AP36" i="9"/>
  <c r="AD30" i="9"/>
  <c r="AE30" i="9"/>
  <c r="AG30" i="9"/>
  <c r="AI30" i="9"/>
  <c r="AK30" i="9"/>
  <c r="AM30" i="9"/>
  <c r="AN30" i="9"/>
  <c r="AP30" i="9"/>
  <c r="AP24" i="9"/>
  <c r="AB42" i="9"/>
  <c r="AB36" i="9"/>
  <c r="N42" i="9"/>
  <c r="O11" i="1"/>
  <c r="O10" i="1"/>
  <c r="O9" i="1"/>
  <c r="O8" i="1"/>
  <c r="O7" i="1"/>
  <c r="N10" i="1"/>
  <c r="N9" i="1"/>
  <c r="H42" i="8"/>
  <c r="V26" i="8"/>
  <c r="P38" i="8"/>
  <c r="U38" i="8"/>
  <c r="T38" i="8"/>
  <c r="S38" i="8"/>
  <c r="R38" i="8"/>
  <c r="Q38" i="8"/>
  <c r="O38" i="8"/>
  <c r="N38" i="8"/>
  <c r="M38" i="8"/>
  <c r="L38" i="8"/>
  <c r="U7" i="10"/>
  <c r="T7" i="10"/>
  <c r="S7" i="10"/>
  <c r="R7" i="10"/>
  <c r="Q7" i="10"/>
  <c r="P7" i="10"/>
  <c r="O7" i="10"/>
  <c r="N7" i="10"/>
  <c r="M7" i="10"/>
  <c r="L7" i="10"/>
  <c r="M22" i="1"/>
  <c r="D18" i="1"/>
  <c r="C7" i="5"/>
  <c r="K7" i="10"/>
  <c r="J7" i="10"/>
  <c r="I7" i="10"/>
  <c r="H7" i="10"/>
  <c r="G7" i="10"/>
  <c r="F7" i="10"/>
  <c r="E7" i="10"/>
  <c r="D7" i="10"/>
  <c r="C7" i="10"/>
  <c r="B7" i="10"/>
  <c r="AP46" i="9"/>
  <c r="AB46" i="9"/>
  <c r="N46" i="9"/>
  <c r="AP41" i="9"/>
  <c r="AB41" i="9"/>
  <c r="N41" i="9"/>
  <c r="AP40" i="9"/>
  <c r="AB40" i="9"/>
  <c r="N40" i="9"/>
  <c r="AP39" i="9"/>
  <c r="AB39" i="9"/>
  <c r="N39" i="9"/>
  <c r="AP35" i="9"/>
  <c r="AB35" i="9"/>
  <c r="N35" i="9"/>
  <c r="AP34" i="9"/>
  <c r="AB34" i="9"/>
  <c r="N34" i="9"/>
  <c r="AP33" i="9"/>
  <c r="AB33" i="9"/>
  <c r="N33" i="9"/>
  <c r="Z30" i="9"/>
  <c r="X30" i="9"/>
  <c r="W30" i="9"/>
  <c r="V47" i="9"/>
  <c r="U30" i="9"/>
  <c r="S30" i="9"/>
  <c r="R30" i="9"/>
  <c r="Q30" i="9"/>
  <c r="P30" i="9"/>
  <c r="M30" i="9"/>
  <c r="L30" i="9"/>
  <c r="J30" i="9"/>
  <c r="I30" i="9"/>
  <c r="F30" i="9"/>
  <c r="D30" i="9"/>
  <c r="C30" i="9"/>
  <c r="AP29" i="9"/>
  <c r="AB29" i="9"/>
  <c r="N29" i="9"/>
  <c r="AP28" i="9"/>
  <c r="AB28" i="9"/>
  <c r="N28" i="9"/>
  <c r="AP27" i="9"/>
  <c r="AB27" i="9"/>
  <c r="N27" i="9"/>
  <c r="AP23" i="9"/>
  <c r="AB23" i="9"/>
  <c r="N23" i="9"/>
  <c r="AP22" i="9"/>
  <c r="AB22" i="9"/>
  <c r="N22" i="9"/>
  <c r="AP21" i="9"/>
  <c r="AB21" i="9"/>
  <c r="N21" i="9"/>
  <c r="AA47" i="9"/>
  <c r="Z47" i="9"/>
  <c r="Y47" i="9"/>
  <c r="X47" i="9"/>
  <c r="W47" i="9"/>
  <c r="U47" i="9"/>
  <c r="S47" i="9"/>
  <c r="Q47" i="9"/>
  <c r="M47" i="9"/>
  <c r="L47" i="9"/>
  <c r="J47" i="9"/>
  <c r="I47" i="9"/>
  <c r="H47" i="9"/>
  <c r="G47" i="9"/>
  <c r="E47" i="9"/>
  <c r="C47" i="9"/>
  <c r="AE5" i="9"/>
  <c r="AF5" i="9"/>
  <c r="AG5" i="9"/>
  <c r="AH5" i="9"/>
  <c r="AI5" i="9"/>
  <c r="AJ5" i="9"/>
  <c r="AK5" i="9"/>
  <c r="AL5" i="9"/>
  <c r="AM5" i="9"/>
  <c r="AN5" i="9"/>
  <c r="AO5" i="9"/>
  <c r="Q5" i="9"/>
  <c r="R5" i="9"/>
  <c r="S5" i="9"/>
  <c r="T5" i="9"/>
  <c r="U5" i="9"/>
  <c r="V5" i="9"/>
  <c r="W5" i="9"/>
  <c r="X5" i="9"/>
  <c r="Y5" i="9"/>
  <c r="Z5" i="9"/>
  <c r="AA5" i="9"/>
  <c r="C5" i="9"/>
  <c r="D5" i="9"/>
  <c r="E5" i="9"/>
  <c r="F5" i="9"/>
  <c r="G5" i="9"/>
  <c r="H5" i="9"/>
  <c r="I5" i="9"/>
  <c r="J5" i="9"/>
  <c r="K5" i="9"/>
  <c r="L5" i="9"/>
  <c r="M5" i="9"/>
  <c r="E8" i="5"/>
  <c r="D8" i="5"/>
  <c r="R47" i="9"/>
  <c r="T47" i="9"/>
  <c r="T49" i="9"/>
  <c r="D47" i="9"/>
  <c r="F47" i="9"/>
  <c r="B47" i="9"/>
  <c r="K47" i="9"/>
  <c r="N47" i="9"/>
  <c r="N30" i="9"/>
  <c r="K49" i="9"/>
  <c r="B49" i="9"/>
  <c r="H10" i="10"/>
  <c r="E18" i="5"/>
  <c r="V7" i="10"/>
  <c r="C38" i="8"/>
  <c r="E38" i="8"/>
  <c r="I38" i="8"/>
  <c r="K38" i="8"/>
  <c r="AB30" i="9"/>
  <c r="N8" i="1"/>
  <c r="AB24" i="9"/>
  <c r="N7" i="1"/>
  <c r="N36" i="9"/>
  <c r="N24" i="9"/>
  <c r="AP18" i="9"/>
  <c r="AB18" i="9"/>
  <c r="N18" i="9"/>
  <c r="H40" i="8"/>
  <c r="E14" i="5"/>
  <c r="V12" i="8"/>
  <c r="D38" i="8"/>
  <c r="F38" i="8"/>
  <c r="H38" i="8"/>
  <c r="J38" i="8"/>
  <c r="E7" i="5"/>
  <c r="D7" i="5"/>
  <c r="E49" i="9"/>
  <c r="G49" i="9"/>
  <c r="C49" i="9"/>
  <c r="I49" i="9"/>
  <c r="M49" i="9"/>
  <c r="Q49" i="9"/>
  <c r="S49" i="9"/>
  <c r="U49" i="9"/>
  <c r="W49" i="9"/>
  <c r="Y49" i="9"/>
  <c r="AA49" i="9"/>
  <c r="AE49" i="9"/>
  <c r="AG49" i="9"/>
  <c r="AI49" i="9"/>
  <c r="AK49" i="9"/>
  <c r="AM49" i="9"/>
  <c r="AO49" i="9"/>
  <c r="D49" i="9"/>
  <c r="H49" i="9"/>
  <c r="J49" i="9"/>
  <c r="L49" i="9"/>
  <c r="AR9" i="9"/>
  <c r="AR11" i="9"/>
  <c r="AR13" i="9"/>
  <c r="AR15" i="9"/>
  <c r="R49" i="9"/>
  <c r="V49" i="9"/>
  <c r="X49" i="9"/>
  <c r="Z49" i="9"/>
  <c r="AD49" i="9"/>
  <c r="AF49" i="9"/>
  <c r="AH49" i="9"/>
  <c r="AJ49" i="9"/>
  <c r="AL49" i="9"/>
  <c r="AN49" i="9"/>
  <c r="AR22" i="9"/>
  <c r="AR29" i="9"/>
  <c r="AR34" i="9"/>
  <c r="AR41" i="9"/>
  <c r="AR46" i="9"/>
  <c r="AR8" i="9"/>
  <c r="AR10" i="9"/>
  <c r="AR12" i="9"/>
  <c r="AR14" i="9"/>
  <c r="AR23" i="9"/>
  <c r="AR28" i="9"/>
  <c r="AR35" i="9"/>
  <c r="AR40" i="9"/>
  <c r="AR7" i="9"/>
  <c r="AR21" i="9"/>
  <c r="AR27" i="9"/>
  <c r="AR33" i="9"/>
  <c r="AR39" i="9"/>
  <c r="G38" i="8"/>
  <c r="V36" i="8"/>
  <c r="O6" i="1"/>
  <c r="AP45" i="9"/>
  <c r="AB45" i="9"/>
  <c r="N45" i="9"/>
  <c r="AR45" i="9"/>
  <c r="AR24" i="9"/>
  <c r="N6" i="1"/>
  <c r="F49" i="9"/>
  <c r="P47" i="9"/>
  <c r="N49" i="9"/>
  <c r="V38" i="8"/>
  <c r="C8" i="5"/>
  <c r="AP49" i="9"/>
  <c r="AR30" i="9"/>
  <c r="AR36" i="9"/>
  <c r="AR42" i="9"/>
  <c r="AR18" i="9"/>
  <c r="B38" i="8"/>
  <c r="H41" i="8"/>
  <c r="E16" i="5"/>
  <c r="F11" i="5"/>
  <c r="F9" i="5"/>
  <c r="F10" i="5"/>
  <c r="AB47" i="9"/>
  <c r="P49" i="9"/>
  <c r="I25" i="1"/>
  <c r="J25" i="1"/>
  <c r="K25" i="1"/>
  <c r="I18" i="1"/>
  <c r="J18" i="1"/>
  <c r="K18" i="1"/>
  <c r="I12" i="1"/>
  <c r="J12" i="1"/>
  <c r="K12" i="1"/>
  <c r="H25" i="1"/>
  <c r="H18" i="1"/>
  <c r="H12" i="1"/>
  <c r="N11" i="1"/>
  <c r="AB49" i="9"/>
  <c r="AR47" i="9"/>
  <c r="AR49" i="9"/>
  <c r="K19" i="1"/>
  <c r="K20" i="1"/>
  <c r="J19" i="1"/>
  <c r="J20" i="1"/>
  <c r="I19" i="1"/>
  <c r="I20" i="1"/>
  <c r="D12" i="5"/>
  <c r="F8" i="5"/>
  <c r="F7" i="5"/>
  <c r="H19" i="1"/>
  <c r="H20" i="1"/>
  <c r="F12" i="1"/>
  <c r="E12" i="5"/>
  <c r="F12" i="5"/>
  <c r="C12" i="5"/>
  <c r="O12" i="1"/>
  <c r="E12" i="1"/>
  <c r="L12" i="1"/>
  <c r="L18" i="1"/>
  <c r="O18" i="1"/>
  <c r="O25" i="1"/>
  <c r="M24" i="1"/>
  <c r="L25" i="1"/>
  <c r="E25" i="1"/>
  <c r="M23" i="1"/>
  <c r="N25" i="1"/>
  <c r="G25" i="1"/>
  <c r="F25" i="1"/>
  <c r="D25" i="1"/>
  <c r="M17" i="1"/>
  <c r="M16" i="1"/>
  <c r="M15" i="1"/>
  <c r="N18" i="1"/>
  <c r="M11" i="1"/>
  <c r="M10" i="1"/>
  <c r="M9" i="1"/>
  <c r="M8" i="1"/>
  <c r="M7" i="1"/>
  <c r="N12" i="1"/>
  <c r="D12" i="1"/>
  <c r="D19" i="1"/>
  <c r="D20" i="1"/>
  <c r="N19" i="1"/>
  <c r="N20" i="1"/>
  <c r="O19" i="1"/>
  <c r="O20" i="1"/>
  <c r="L19" i="1"/>
  <c r="L20" i="1"/>
  <c r="G12" i="1"/>
  <c r="F18" i="1"/>
  <c r="F19" i="1"/>
  <c r="F20" i="1"/>
  <c r="M25" i="1"/>
  <c r="E18" i="1"/>
  <c r="G18" i="1"/>
  <c r="M6" i="1"/>
  <c r="M12" i="1"/>
  <c r="G19" i="1"/>
  <c r="G20" i="1"/>
  <c r="M18" i="1"/>
  <c r="M19" i="1"/>
  <c r="M20" i="1"/>
  <c r="M14" i="1"/>
  <c r="E19" i="1"/>
  <c r="E20" i="1"/>
</calcChain>
</file>

<file path=xl/sharedStrings.xml><?xml version="1.0" encoding="utf-8"?>
<sst xmlns="http://schemas.openxmlformats.org/spreadsheetml/2006/main" count="330" uniqueCount="207">
  <si>
    <t xml:space="preserve">Kostnaðarliðir </t>
  </si>
  <si>
    <t>1. ums.</t>
  </si>
  <si>
    <t>2. ums.</t>
  </si>
  <si>
    <t>3. ums.</t>
  </si>
  <si>
    <t>4. ums.</t>
  </si>
  <si>
    <t>Samtals 1. árið:</t>
  </si>
  <si>
    <t>Áætlun f. síðari ár</t>
  </si>
  <si>
    <t>¯</t>
  </si>
  <si>
    <t>Laun og launatengd gjöld:</t>
  </si>
  <si>
    <t>Rekstrarvörur, efni o.fl.:</t>
  </si>
  <si>
    <t>Aðkeypt þjónusta:</t>
  </si>
  <si>
    <t>Ferðir og fundir:</t>
  </si>
  <si>
    <t>Eigið framlag (aðstaða, laun):</t>
  </si>
  <si>
    <t xml:space="preserve">Greiðslur til verkefnisins: </t>
  </si>
  <si>
    <t>Mann-mán.</t>
  </si>
  <si>
    <t>Alls</t>
  </si>
  <si>
    <t>Sérfræðingar:</t>
  </si>
  <si>
    <t>Aðstoðarfólk:</t>
  </si>
  <si>
    <t>Alls:</t>
  </si>
  <si>
    <t>Afskriftir áhalda og og tækja:</t>
  </si>
  <si>
    <t xml:space="preserve">Samrekstur og aðstaða:     </t>
  </si>
  <si>
    <t>Verkefnis-stjóri</t>
  </si>
  <si>
    <t>2011/12</t>
  </si>
  <si>
    <r>
      <t xml:space="preserve">Fjármögnunarliðir </t>
    </r>
    <r>
      <rPr>
        <sz val="11"/>
        <color indexed="8"/>
        <rFont val="Symbol"/>
        <family val="1"/>
        <charset val="2"/>
      </rPr>
      <t>¯</t>
    </r>
  </si>
  <si>
    <t>Áætlun síðari ára</t>
  </si>
  <si>
    <t>C:  Sótt um til TÞS:</t>
  </si>
  <si>
    <t>5. ums.</t>
  </si>
  <si>
    <t xml:space="preserve">Framlag annarra, þá hverra: </t>
  </si>
  <si>
    <t xml:space="preserve">Upphafsstafir:  </t>
  </si>
  <si>
    <t>A:  Viðurkenndur kostn.:</t>
  </si>
  <si>
    <t>Verk.stj.</t>
  </si>
  <si>
    <t>B:  Fjármögnun samtals:</t>
  </si>
  <si>
    <t>Hlutfall (C/A):</t>
  </si>
  <si>
    <t>Mannafli:</t>
  </si>
  <si>
    <t>6. ums.</t>
  </si>
  <si>
    <t>7. ums.</t>
  </si>
  <si>
    <t>8. ums.</t>
  </si>
  <si>
    <t>Ár</t>
  </si>
  <si>
    <t>1. ár</t>
  </si>
  <si>
    <t>3. ár</t>
  </si>
  <si>
    <t>2. ár</t>
  </si>
  <si>
    <t>Samtals</t>
  </si>
  <si>
    <t>Samtals         öll árin</t>
  </si>
  <si>
    <t>Aðstoðarmaður</t>
  </si>
  <si>
    <t>Annað</t>
  </si>
  <si>
    <t xml:space="preserve">Samtals </t>
  </si>
  <si>
    <t>b</t>
  </si>
  <si>
    <t>c</t>
  </si>
  <si>
    <t>Rekstrarvörur, efni o.fl.</t>
  </si>
  <si>
    <t>Aðkeypt þjónusta</t>
  </si>
  <si>
    <t>Ferðir og fundir</t>
  </si>
  <si>
    <t>Afskriftir áhalda og tækja</t>
  </si>
  <si>
    <t>Samrekstur og aðstaða</t>
  </si>
  <si>
    <t>Samtals kostnaður</t>
  </si>
  <si>
    <t>Tekjur</t>
  </si>
  <si>
    <t>Afskriftir</t>
  </si>
  <si>
    <t>Fjármagnkostnaður</t>
  </si>
  <si>
    <t>Vaxtagjöld</t>
  </si>
  <si>
    <t>Hagnaður/tap fyrir skatta</t>
  </si>
  <si>
    <t>Samtals tekjur</t>
  </si>
  <si>
    <t>Samtals gjöld</t>
  </si>
  <si>
    <t>Velta á núvirði</t>
  </si>
  <si>
    <t>ársvextir</t>
  </si>
  <si>
    <t>Hagnaður/tap á núvirði</t>
  </si>
  <si>
    <t>Markaðs og sölukostn.</t>
  </si>
  <si>
    <t>(Allar tölur í þús. króna)</t>
  </si>
  <si>
    <t>Útreikningur mannmánaða:</t>
  </si>
  <si>
    <t>Mán laun</t>
  </si>
  <si>
    <t>Kostnaður</t>
  </si>
  <si>
    <t>Sótt til annarra</t>
  </si>
  <si>
    <t>Sótt til TÞS</t>
  </si>
  <si>
    <t>Mismunur</t>
  </si>
  <si>
    <t>Hagnaður á sama tímabili reiknaður til núvirðis:</t>
  </si>
  <si>
    <t>Kostnaður á núvirði</t>
  </si>
  <si>
    <t>Þróunar- og framleiðslukostn.</t>
  </si>
  <si>
    <t>Aðstaða</t>
  </si>
  <si>
    <t>Verðmæti fyrir notendur</t>
  </si>
  <si>
    <t>Verðmæti fyrir notendur reiknað til núvirðis:</t>
  </si>
  <si>
    <r>
      <t>Velta á líftíma vöru</t>
    </r>
    <r>
      <rPr>
        <b/>
        <sz val="11"/>
        <color theme="1"/>
        <rFont val="Calibri"/>
        <family val="2"/>
        <scheme val="minor"/>
      </rPr>
      <t xml:space="preserve"> reiknuð til núvirðis: </t>
    </r>
  </si>
  <si>
    <t xml:space="preserve"> </t>
  </si>
  <si>
    <t>Starfshl.</t>
  </si>
  <si>
    <t>Vegin</t>
  </si>
  <si>
    <t>1.ár</t>
  </si>
  <si>
    <t>2.ár</t>
  </si>
  <si>
    <t>3.ár</t>
  </si>
  <si>
    <t>Lykiltölur fjárstreymis</t>
  </si>
  <si>
    <t>Kostnaðaráætlun</t>
  </si>
  <si>
    <t>Heiti verkefnis</t>
  </si>
  <si>
    <t>Verkefnisstjóri</t>
  </si>
  <si>
    <t>Nafn félags</t>
  </si>
  <si>
    <t>Að öllu jöfnu er rekstraráætlun miðuð við 10 ár, en það má lengja töfluna (velja 2 efst í vinstra horni) og bæta við allt að 10 árum. Þetta á einkum við þar sem um langtíma verkefni er að ræða og tekjur ekki fyrirsjánlegar á næstu árum. Ár 1 er fyrsta stuðningsár verkefnisins hjá Tækniþróunarsjóði. Allar tölur í þús. króna.</t>
  </si>
  <si>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Notið þær raðir sem við á. Það er ekki nauðsynlegt að fylla út í allar reiti.</t>
    </r>
  </si>
  <si>
    <t>Rekstraráætlun</t>
  </si>
  <si>
    <t>Ár 2</t>
  </si>
  <si>
    <t>Ár 3</t>
  </si>
  <si>
    <t>Mánuðir</t>
  </si>
  <si>
    <t>Innlend verðmæti</t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</si>
  <si>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Hér er verið að stilla upp virði fyrir notendur (tekjuauki og/eða sparnaður). Að öllu jöfnu er miðað við 10 ár en það má lengja töfluna (velja 2 efst í vinstra horni) og bæta við allt að 10 árum. Þetta á einkum við þar sem um langtíma verkefni er að ræða og tekjur (sbr. rekstur) ekki fyrirsjánlegar á næstu árum. Ár 1 er fyrsta stuðningsár verkefnisins hjá Tækniþróunarsjóði.</t>
    </r>
    <r>
      <rPr>
        <b/>
        <i/>
        <sz val="11"/>
        <color theme="1"/>
        <rFont val="Calibri"/>
        <family val="2"/>
        <scheme val="minor"/>
      </rPr>
      <t xml:space="preserve"> Allar tölur í þús. króna.</t>
    </r>
  </si>
  <si>
    <t>Athugasemdir</t>
  </si>
  <si>
    <t>Útskýringar á veltumarkmiðum</t>
  </si>
  <si>
    <t>Setjið fram tekjumódelið í útreikningum á veltumarkmiðum</t>
  </si>
  <si>
    <t>Útskýringar á innlendum verðmætum</t>
  </si>
  <si>
    <t>Setjið fram forsendur fyrir útreikningum á innlendum verðmætum</t>
  </si>
  <si>
    <t>Séfræðingar; mannmán.</t>
  </si>
  <si>
    <t>Aðstoðarfólk; mannmán.</t>
  </si>
  <si>
    <t>Annað; mannmán.</t>
  </si>
  <si>
    <t>Upphafsstafir</t>
  </si>
  <si>
    <t>Mannmánuðir</t>
  </si>
  <si>
    <r>
      <t xml:space="preserve">Athugið að skyggðu svæðin eru til útreikninga, </t>
    </r>
    <r>
      <rPr>
        <b/>
        <i/>
        <sz val="11"/>
        <color theme="1"/>
        <rFont val="Calibri"/>
        <family val="2"/>
        <scheme val="minor"/>
      </rPr>
      <t>ekki breyta formúlum í þeim reitum</t>
    </r>
    <r>
      <rPr>
        <i/>
        <sz val="11"/>
        <color theme="1"/>
        <rFont val="Calibri"/>
        <family val="2"/>
        <scheme val="minor"/>
      </rPr>
      <t>. Það má útvíkka töfluna með því að velja 2 uppi í vinstra horninu ef umsækjendur eru fleiri, og ef þeir eru færri en 8 má eyða súlum og eins bæta við ef fleiri en 8.</t>
    </r>
  </si>
  <si>
    <r>
      <t xml:space="preserve">Allar upphæðir sem umsækjendur færa inn í skjalið eiga að vera í </t>
    </r>
    <r>
      <rPr>
        <b/>
        <i/>
        <u/>
        <sz val="12"/>
        <color theme="1"/>
        <rFont val="Calibri"/>
        <family val="2"/>
        <scheme val="minor"/>
      </rPr>
      <t>þúsundum króna</t>
    </r>
  </si>
  <si>
    <t>Athugið!</t>
  </si>
  <si>
    <t>Ófullnægjandi kostnaðaráætlun getur leitt til þess að umsókn verði vísað frá.</t>
  </si>
  <si>
    <r>
      <t xml:space="preserve">Mikilvægt er að umsækjendur fylli út í </t>
    </r>
    <r>
      <rPr>
        <b/>
        <i/>
        <u/>
        <sz val="12"/>
        <color theme="1"/>
        <rFont val="Calibri"/>
        <family val="2"/>
        <scheme val="minor"/>
      </rPr>
      <t>alla viðeigandi liði</t>
    </r>
    <r>
      <rPr>
        <sz val="12"/>
        <color theme="1"/>
        <rFont val="Calibri"/>
        <family val="2"/>
        <scheme val="minor"/>
      </rPr>
      <t xml:space="preserve"> í þessu skjali. </t>
    </r>
  </si>
  <si>
    <r>
      <t>Laun og launatengd gjöld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</si>
  <si>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Eyðið eða bætið við röðum eftir þörfum.</t>
    </r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</si>
  <si>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Eyðið eða bætið við röðum eftir þörfum. Sýnið útreikning á tekjum á síðu "Forsendur veltu" og sækið tölur þaðan í þessa reiti.</t>
    </r>
  </si>
  <si>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Eyðið eða bætið við röðum eftir þörfum. Sýnið útreikning á tekjum á síðu "Forsendur Innl. verðm." og sækið tölur þaðan í þessa reiti. Hér er verið að leita eftir "öðrum tekjum" sem verða til í íslensku þjóðfélagi vegna þess að verkefnið verður að veruleika. Veltu úr rekstri á ekki að tilgreina hér.</t>
    </r>
  </si>
  <si>
    <t>Ef ekki er gerð grein fyrir forsendum útreikninga verður umsókn vísað frá</t>
  </si>
  <si>
    <r>
      <t xml:space="preserve">Hér skal gera grein fyrir forsendum útreikninga fyrir innlend verðmæti. Hér er átt við hvaða fjárhagslegan hag neytendur </t>
    </r>
    <r>
      <rPr>
        <b/>
        <i/>
        <u/>
        <sz val="11"/>
        <color theme="1"/>
        <rFont val="Calibri"/>
        <family val="2"/>
        <scheme val="minor"/>
      </rPr>
      <t>innanlands</t>
    </r>
    <r>
      <rPr>
        <b/>
        <sz val="11"/>
        <color theme="1"/>
        <rFont val="Calibri"/>
        <family val="2"/>
        <scheme val="minor"/>
      </rPr>
      <t xml:space="preserve"> hafa af notkun vörunnar/þjónustu. Hérna skal ekki reikna út veltu fyrirtækisins af sölu afurðarinnar innanlands heldur samanlagðan ávinning </t>
    </r>
    <r>
      <rPr>
        <b/>
        <i/>
        <u/>
        <sz val="11"/>
        <color theme="1"/>
        <rFont val="Calibri"/>
        <family val="2"/>
        <scheme val="minor"/>
      </rPr>
      <t>allra</t>
    </r>
    <r>
      <rPr>
        <b/>
        <sz val="11"/>
        <color theme="1"/>
        <rFont val="Calibri"/>
        <family val="2"/>
        <scheme val="minor"/>
      </rPr>
      <t xml:space="preserve"> notenda innanlands. Innlend verðmæti eru reiknuð til núvirðis, sbr. "Innlend verðmæti" og "Lykiltölur".</t>
    </r>
  </si>
  <si>
    <r>
      <t>Gjöld</t>
    </r>
    <r>
      <rPr>
        <b/>
        <vertAlign val="superscript"/>
        <sz val="11"/>
        <color theme="1"/>
        <rFont val="Calibri"/>
        <family val="2"/>
        <scheme val="minor"/>
      </rPr>
      <t xml:space="preserve">2  </t>
    </r>
    <r>
      <rPr>
        <b/>
        <sz val="11"/>
        <color theme="1"/>
        <rFont val="Calibri"/>
        <family val="2"/>
        <scheme val="minor"/>
      </rPr>
      <t>í þús. kr.</t>
    </r>
  </si>
  <si>
    <t>Eigið framlag</t>
  </si>
  <si>
    <t>þús.kr.</t>
  </si>
  <si>
    <r>
      <t>Sparnaður/Tekjur notenda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 xml:space="preserve"> í þús. kr.</t>
    </r>
  </si>
  <si>
    <t>þús. kr.</t>
  </si>
  <si>
    <r>
      <t xml:space="preserve">Kostnaðaryfirlit  SAMÞYKKTUR KOSTNAÐUR    </t>
    </r>
    <r>
      <rPr>
        <b/>
        <u/>
        <sz val="10"/>
        <color indexed="8"/>
        <rFont val="Arial"/>
        <family val="2"/>
      </rPr>
      <t>(Allar upphæðir í þús.kr.)</t>
    </r>
  </si>
  <si>
    <r>
      <t>M.v. 20% regluna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</si>
  <si>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Villa kemur upp í samtalsreit ef útreikningar á 20% reglunni eru rangir. Sjá leiðbiningar fyrir sjóðinn um útreikninga á 20% reglunni.</t>
    </r>
  </si>
  <si>
    <t>Ef "villa" kemur upp í reitnum "samtals fjármögnun" fyrir fyrsta árið þá er ósamræmi í útreikningum miðað við útreikninga í "kostnaður verkáætlunar"</t>
  </si>
  <si>
    <t xml:space="preserve">Reiti C9:E11 þarf að fylla út. Aðrar tölur koma úr töflum. Þessar töflur má svo afrita og líma inn í umsóknarblaðið. </t>
  </si>
  <si>
    <t>2012/13</t>
  </si>
  <si>
    <t>Tækniþróunarsjóður Vor 2011</t>
  </si>
  <si>
    <t>Verkefnisár 1   (2011/2012)</t>
  </si>
  <si>
    <t>Verkefnisár 2   (2012/2013)</t>
  </si>
  <si>
    <t>Verkefnisár 3   (2013/2014)</t>
  </si>
  <si>
    <t>2013/14</t>
  </si>
  <si>
    <t>SARWeather</t>
  </si>
  <si>
    <t>Ólafur Rögnvaldsson</t>
  </si>
  <si>
    <t>Reiknistofa í veðurfræði</t>
  </si>
  <si>
    <t>RV</t>
  </si>
  <si>
    <t>GQ</t>
  </si>
  <si>
    <t>DM</t>
  </si>
  <si>
    <t>SARWeather - Almannavarnir</t>
  </si>
  <si>
    <t>Forsenda þessarar upphæðar er betri nýting á þeim gríðarlega fjölda sjálfboðaliða sem sinna störfum fyrir Landsbjörgu. Samkvæmt upplýsingum frá Friðfinni F. Guðmundssyni (sjá fylgiskjal “fjoldiklukkustunda-Landsbjorg.pdf”) er áætlaður heildarmeðalfjöldi vinnustunda áranna 2008 og 2009 rúmlega 273.000 (273.325 vinnustundir).</t>
  </si>
  <si>
    <t>Skv. upplýsingum á vef Hagstofu Íslands þá voru meðal mánaðarlaun ársins 2009 (regluleg laun, ekki heildarlaun) 366.000 krónur.</t>
  </si>
  <si>
    <t>&lt;- SLÓÐ Á VEF HAGSTOFU ÍSLANDS</t>
  </si>
  <si>
    <t>Gerum nú ráð fyrir að vinnumánuður sé 180 klst, þá fæst að meðallaunataxti er um 2.030 kr/klst.</t>
  </si>
  <si>
    <t>Ef gert er ráð fyrir að allir sjálfboðaliðar Landsbjargar hafi tekið sér frí frá vinnu vegna starfa í þágu samtakanna þá er verðmæti þeirrar vinnu 273.325 klst * 2030 kr/klst = 554.849.750 krónur (rúmlega 550 milljónir).</t>
  </si>
  <si>
    <t>Gerum ennfremur ráð fyrir að SARWeather muni bæta nýtingu á starfskröftum sjálfboðaliða Landsbjargar um 5%. Af því leiðir að þjóðhagslegur sparnaður, vegna minna vinnutaps, er 27.742.500 krónur. Þ.e.a.s. um 27 milljónir á ári hverju.</t>
  </si>
  <si>
    <t>Gerum enn fremur ráð fyrir að 20 "lífár" bjargist á ári hverju þar sem hvert lífár er 15 milljón króna virði (http://www.time.com/time/health/article/0,8599,1808049,00.html). Þá sparast aukalega um 300 milljónir á ári hverju.</t>
  </si>
  <si>
    <t>Fagráðstefnur</t>
  </si>
  <si>
    <t>Söluráðstefnur</t>
  </si>
  <si>
    <t>Aðrir fundir</t>
  </si>
  <si>
    <t>NN - PhD nemi HR</t>
  </si>
  <si>
    <t>NN - PhD nemi UiB</t>
  </si>
  <si>
    <t>ÖER</t>
  </si>
  <si>
    <t>Þór Sigurðsson</t>
  </si>
  <si>
    <t>ÞS</t>
  </si>
  <si>
    <t>Hjálmar Gíslason</t>
  </si>
  <si>
    <t>HG</t>
  </si>
  <si>
    <t>EH</t>
  </si>
  <si>
    <t>PhD nemi HR</t>
  </si>
  <si>
    <t>NN-HR</t>
  </si>
  <si>
    <t>PhD nemi UiB</t>
  </si>
  <si>
    <t>NN-UiB</t>
  </si>
  <si>
    <t>ÓR - Sérfræðingur</t>
  </si>
  <si>
    <t>ÖER - Sérfræðingur</t>
  </si>
  <si>
    <t>ÞS - Sérfræðingur</t>
  </si>
  <si>
    <t>NN - Markaðsstjóri</t>
  </si>
  <si>
    <t>NN - Sölumaður</t>
  </si>
  <si>
    <t>HG - Sérfræðingur</t>
  </si>
  <si>
    <t>Örnólfur Rögnvaldsson</t>
  </si>
  <si>
    <t>Eiríkur S Hrafnsson</t>
  </si>
  <si>
    <t>OR</t>
  </si>
  <si>
    <t>NN - Viðskiptastjóri</t>
  </si>
  <si>
    <t>EH - Sérfræðingur</t>
  </si>
  <si>
    <t>NN - Hafhringrásarlíkön</t>
  </si>
  <si>
    <t>NN-Market</t>
  </si>
  <si>
    <t>NN-Viðsk</t>
  </si>
  <si>
    <t>NN-Ocean</t>
  </si>
  <si>
    <t>NN-Sales</t>
  </si>
  <si>
    <t>NN - Oceanographer</t>
  </si>
  <si>
    <t>PhD nemar</t>
  </si>
  <si>
    <t>Auglýsinga- og kynningarkostnaður</t>
  </si>
  <si>
    <t>Aðrar sölutekjur</t>
  </si>
  <si>
    <t>Styrkir</t>
  </si>
  <si>
    <r>
      <t>Launakostnaður</t>
    </r>
    <r>
      <rPr>
        <sz val="11"/>
        <color rgb="FFFF0000"/>
        <rFont val="Calibri"/>
        <family val="2"/>
        <scheme val="minor"/>
      </rPr>
      <t>**</t>
    </r>
  </si>
  <si>
    <r>
      <t>Tekjur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í þús. kr.</t>
    </r>
    <r>
      <rPr>
        <b/>
        <sz val="11"/>
        <color rgb="FFFF0000"/>
        <rFont val="Calibri"/>
        <family val="2"/>
        <scheme val="minor"/>
      </rPr>
      <t>*</t>
    </r>
  </si>
  <si>
    <t>* Tekjur fyrstu 3 árin miðast eingöngu við tekjur sem tengdar eru þessu verkefni. Á ári 4-10 eru tekjur m.v. alla starfssemi Reiknistofu í veðurfræði.</t>
  </si>
  <si>
    <t>** Launakostnaður fyrstu 3 árin miðast eingöngu við launakostnað sem tengdur er þessu verkefni. Á ári 4-10 eru tölur um launakostnað m.v. alla starfssemi Reiknistofu í veðurfræði.</t>
  </si>
  <si>
    <t>Aðrir styrkir</t>
  </si>
  <si>
    <t>CPU pay-per-use</t>
  </si>
  <si>
    <t>SARWeather - lag 1 (t.d. GDACS)</t>
  </si>
  <si>
    <t>SARWeather - lag 2 (t.d. IS-samhæfingarstöð)</t>
  </si>
  <si>
    <t>SARWeather - lag 3 (D4H)</t>
  </si>
  <si>
    <t>D4H kostnaður (CPU pay-per-use og umboðslaun)</t>
  </si>
  <si>
    <t>SARWeather - lag 3 (pay-per-use)</t>
  </si>
  <si>
    <r>
      <t>Rekstrarvörur</t>
    </r>
    <r>
      <rPr>
        <sz val="11"/>
        <color rgb="FFFF0000"/>
        <rFont val="Calibri"/>
        <family val="2"/>
        <scheme val="minor"/>
      </rPr>
      <t>***</t>
    </r>
  </si>
  <si>
    <t>*** Ekki er tekið tillit til almenns rekstrarkostnaðar Reiknistofu í veðurfræði fyrstu 3 ár verkefnisins. Á ári 4-10 er hins vegar horft til rekstrarleigu á vélbúnaði ásamt kaupum/endurnýjum á vélbúnaði fyrir alla starfsemi Reiknistofu í veðurfræði.</t>
  </si>
  <si>
    <t>Samningur um endursölu á veðurspám hefur verið gerður við D4H sem í dag hafa 80 stóra viðskiptavini. Þeirra plön g.r.f að stórir viðskiptavinirnir verði orðnir 160 í lok árs 2011. Ennfremur hefur D4H samning í sigtinu við aðila sem hefur 370 björgunarsveitir innan sinna vébanda. Hægt verður að panta veðurspár 4x á sólarhring og við g.r.f. að viðskiptavinir nýti sér þjónustuna að meðaltali 2% af tímanum (u.þ.b. 30 sinnum á ári).</t>
  </si>
  <si>
    <t>Samningur við GDACS (UN) er í vinnslu en viljayfirlýsing hefur verið undirrituð um samning frá miðju ári 2011. Áætlaðar tekjur af þeim samningi eru 1.200.000 ISK á mánuði. Við stefnum á að fjölga viðlíka viðskiptavinum um einn á ári, fram að ári 4.</t>
  </si>
  <si>
    <t>Samningur við innlenda aðila til 5 ára hefur verið samþykktur og bíður undirritunar. Tekjur af honum  nema 600.000 ISK á mán. Við stefnum að því að erlendir viðskiptavinir verði orðnir 2 á öðru ári verkefnisins og muni fjölga um 2 á hverju ári til og með fimmta árs. Eftir það munum við ná einum viðskiptavini til viðbótar á hverju ári. Tekjur af erlendum viðskiptavinum eru áætlaðar 1.200.000 ISK á mánuði.</t>
  </si>
  <si>
    <t xml:space="preserve">Við gerum ráð fyrir að notendur SARWeather kerfisins, hvort sem þeir koma úr lagi 1, 2, eða 3 (D4H), muni nýta sér "pay-per-use" viðmót kerfisins. Ennfremur að kerfið spyrjist út, ásamt kynningum og auglýsingaherferðum.  Við gerum ráð fyrir að notendum fjölgi um 30% á ári frá og með 3. ári. </t>
  </si>
  <si>
    <t>Áhættuþættir</t>
  </si>
  <si>
    <t>Óvissa: 50 € pr. Spá. Er verðið of hátt, eða jafnvel of lágt? Þar sem lunginn af viðskiptavinum SARWeather eru erlendir er mikil gengisáhætta falin í þessari áætlun. Við göngum út frá að gengi ISK sé 1€=150ISK.</t>
  </si>
  <si>
    <t>Hér er tekið mið af tekjum af styrkjum sem Reiknistofu í veðurfræði aflað á undanförnum árum.</t>
  </si>
  <si>
    <t>Hér er gert ráð fyrir sölutekjum frá annarri starfsemi Reiknistofu í veðurfræði, svo sem samninga við Landsvirkjun og Veðurstofu Íslands</t>
  </si>
  <si>
    <t>Vefforritun og hönnun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</si>
</sst>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\-#,##0\ "/>
    <numFmt numFmtId="165" formatCode="0.0%"/>
    <numFmt numFmtId="166" formatCode="#,##0_ ;[Red]\-#,##0\ "/>
    <numFmt numFmtId="167" formatCode="0.0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Symbol"/>
      <family val="1"/>
      <charset val="2"/>
    </font>
    <font>
      <sz val="11"/>
      <color indexed="8"/>
      <name val="Symbol"/>
      <family val="1"/>
      <charset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2">
    <xf numFmtId="0" fontId="0" fillId="0" borderId="0"/>
    <xf numFmtId="9" fontId="3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/>
    <xf numFmtId="9" fontId="31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334">
    <xf numFmtId="0" fontId="0" fillId="0" borderId="0" xfId="0"/>
    <xf numFmtId="0" fontId="0" fillId="0" borderId="0" xfId="0" applyFill="1"/>
    <xf numFmtId="3" fontId="0" fillId="0" borderId="3" xfId="0" applyNumberFormat="1" applyBorder="1"/>
    <xf numFmtId="3" fontId="6" fillId="2" borderId="3" xfId="0" applyNumberFormat="1" applyFont="1" applyFill="1" applyBorder="1" applyAlignment="1">
      <alignment horizontal="right" vertical="top" wrapText="1"/>
    </xf>
    <xf numFmtId="164" fontId="6" fillId="2" borderId="3" xfId="0" applyNumberFormat="1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1" fontId="6" fillId="2" borderId="3" xfId="0" applyNumberFormat="1" applyFont="1" applyFill="1" applyBorder="1" applyAlignment="1">
      <alignment horizontal="right" vertical="top" wrapText="1"/>
    </xf>
    <xf numFmtId="1" fontId="6" fillId="2" borderId="3" xfId="0" applyNumberFormat="1" applyFont="1" applyFill="1" applyBorder="1" applyAlignment="1" applyProtection="1">
      <alignment horizontal="right" vertical="top" wrapText="1"/>
      <protection locked="0"/>
    </xf>
    <xf numFmtId="3" fontId="6" fillId="2" borderId="15" xfId="0" applyNumberFormat="1" applyFont="1" applyFill="1" applyBorder="1" applyAlignment="1">
      <alignment horizontal="right" vertical="top" wrapText="1"/>
    </xf>
    <xf numFmtId="1" fontId="6" fillId="2" borderId="15" xfId="0" applyNumberFormat="1" applyFont="1" applyFill="1" applyBorder="1" applyAlignment="1">
      <alignment horizontal="right" vertical="top" wrapText="1"/>
    </xf>
    <xf numFmtId="0" fontId="8" fillId="6" borderId="3" xfId="0" applyFont="1" applyFill="1" applyBorder="1" applyAlignment="1">
      <alignment horizontal="center" vertical="top" wrapText="1"/>
    </xf>
    <xf numFmtId="0" fontId="8" fillId="6" borderId="15" xfId="0" applyFont="1" applyFill="1" applyBorder="1" applyAlignment="1">
      <alignment horizontal="center" vertical="top" wrapText="1"/>
    </xf>
    <xf numFmtId="3" fontId="6" fillId="6" borderId="3" xfId="0" applyNumberFormat="1" applyFont="1" applyFill="1" applyBorder="1" applyAlignment="1" applyProtection="1">
      <alignment horizontal="right" vertical="top" wrapText="1"/>
      <protection locked="0"/>
    </xf>
    <xf numFmtId="3" fontId="6" fillId="6" borderId="3" xfId="0" applyNumberFormat="1" applyFont="1" applyFill="1" applyBorder="1" applyAlignment="1">
      <alignment horizontal="right" vertical="top" wrapText="1"/>
    </xf>
    <xf numFmtId="3" fontId="6" fillId="6" borderId="15" xfId="0" applyNumberFormat="1" applyFont="1" applyFill="1" applyBorder="1" applyAlignment="1">
      <alignment horizontal="right" vertical="top" wrapText="1"/>
    </xf>
    <xf numFmtId="3" fontId="6" fillId="6" borderId="3" xfId="0" applyNumberFormat="1" applyFont="1" applyFill="1" applyBorder="1" applyAlignment="1" applyProtection="1">
      <alignment horizontal="right" vertical="top" wrapText="1"/>
    </xf>
    <xf numFmtId="3" fontId="6" fillId="6" borderId="15" xfId="0" applyNumberFormat="1" applyFont="1" applyFill="1" applyBorder="1" applyAlignment="1" applyProtection="1">
      <alignment horizontal="right" vertical="top" wrapText="1"/>
      <protection locked="0"/>
    </xf>
    <xf numFmtId="0" fontId="6" fillId="6" borderId="3" xfId="0" applyFont="1" applyFill="1" applyBorder="1" applyAlignment="1">
      <alignment horizontal="center" vertical="top" wrapText="1"/>
    </xf>
    <xf numFmtId="165" fontId="6" fillId="6" borderId="3" xfId="1" applyNumberFormat="1" applyFont="1" applyFill="1" applyBorder="1" applyAlignment="1" applyProtection="1">
      <alignment horizontal="right" vertical="top" wrapText="1"/>
      <protection locked="0"/>
    </xf>
    <xf numFmtId="9" fontId="6" fillId="6" borderId="3" xfId="1" applyFont="1" applyFill="1" applyBorder="1" applyAlignment="1" applyProtection="1">
      <alignment horizontal="right" vertical="top" wrapText="1"/>
      <protection locked="0"/>
    </xf>
    <xf numFmtId="9" fontId="6" fillId="6" borderId="15" xfId="1" applyFont="1" applyFill="1" applyBorder="1" applyAlignment="1" applyProtection="1">
      <alignment horizontal="right" vertical="top" wrapText="1"/>
      <protection locked="0"/>
    </xf>
    <xf numFmtId="0" fontId="8" fillId="6" borderId="3" xfId="0" applyFont="1" applyFill="1" applyBorder="1" applyAlignment="1">
      <alignment vertical="top" wrapText="1"/>
    </xf>
    <xf numFmtId="0" fontId="8" fillId="6" borderId="15" xfId="0" applyFont="1" applyFill="1" applyBorder="1" applyAlignment="1">
      <alignment vertical="top" wrapText="1"/>
    </xf>
    <xf numFmtId="1" fontId="6" fillId="6" borderId="23" xfId="0" applyNumberFormat="1" applyFont="1" applyFill="1" applyBorder="1" applyAlignment="1" applyProtection="1">
      <alignment horizontal="right" vertical="top" wrapText="1"/>
      <protection locked="0"/>
    </xf>
    <xf numFmtId="1" fontId="6" fillId="6" borderId="24" xfId="0" applyNumberFormat="1" applyFont="1" applyFill="1" applyBorder="1" applyAlignment="1" applyProtection="1">
      <alignment horizontal="right" vertical="top" wrapText="1"/>
      <protection locked="0"/>
    </xf>
    <xf numFmtId="0" fontId="11" fillId="5" borderId="9" xfId="0" applyFont="1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right" vertical="center"/>
    </xf>
    <xf numFmtId="3" fontId="11" fillId="5" borderId="10" xfId="0" applyNumberFormat="1" applyFont="1" applyFill="1" applyBorder="1" applyAlignment="1">
      <alignment vertical="center"/>
    </xf>
    <xf numFmtId="0" fontId="0" fillId="5" borderId="10" xfId="0" applyFill="1" applyBorder="1"/>
    <xf numFmtId="3" fontId="0" fillId="4" borderId="3" xfId="0" applyNumberFormat="1" applyFill="1" applyBorder="1"/>
    <xf numFmtId="166" fontId="0" fillId="4" borderId="3" xfId="0" applyNumberFormat="1" applyFill="1" applyBorder="1"/>
    <xf numFmtId="0" fontId="0" fillId="9" borderId="0" xfId="0" applyFill="1"/>
    <xf numFmtId="0" fontId="0" fillId="9" borderId="0" xfId="0" applyFill="1" applyBorder="1"/>
    <xf numFmtId="3" fontId="0" fillId="9" borderId="0" xfId="0" applyNumberFormat="1" applyFill="1"/>
    <xf numFmtId="0" fontId="11" fillId="9" borderId="0" xfId="0" applyFont="1" applyFill="1"/>
    <xf numFmtId="0" fontId="0" fillId="8" borderId="0" xfId="0" applyFill="1"/>
    <xf numFmtId="3" fontId="0" fillId="8" borderId="0" xfId="0" applyNumberFormat="1" applyFill="1"/>
    <xf numFmtId="0" fontId="0" fillId="8" borderId="36" xfId="0" applyFill="1" applyBorder="1"/>
    <xf numFmtId="0" fontId="0" fillId="8" borderId="38" xfId="0" applyFill="1" applyBorder="1"/>
    <xf numFmtId="0" fontId="0" fillId="8" borderId="37" xfId="0" applyFill="1" applyBorder="1"/>
    <xf numFmtId="0" fontId="0" fillId="8" borderId="40" xfId="0" applyFill="1" applyBorder="1"/>
    <xf numFmtId="0" fontId="11" fillId="5" borderId="32" xfId="0" applyFont="1" applyFill="1" applyBorder="1" applyAlignment="1">
      <alignment horizontal="right"/>
    </xf>
    <xf numFmtId="0" fontId="11" fillId="5" borderId="43" xfId="0" applyFont="1" applyFill="1" applyBorder="1"/>
    <xf numFmtId="0" fontId="0" fillId="8" borderId="35" xfId="0" applyFill="1" applyBorder="1"/>
    <xf numFmtId="9" fontId="0" fillId="8" borderId="34" xfId="1" applyFont="1" applyFill="1" applyBorder="1"/>
    <xf numFmtId="0" fontId="0" fillId="8" borderId="33" xfId="0" applyFill="1" applyBorder="1"/>
    <xf numFmtId="9" fontId="0" fillId="8" borderId="36" xfId="1" applyFont="1" applyFill="1" applyBorder="1"/>
    <xf numFmtId="0" fontId="0" fillId="8" borderId="0" xfId="0" applyFill="1" applyBorder="1"/>
    <xf numFmtId="0" fontId="0" fillId="8" borderId="39" xfId="0" applyFill="1" applyBorder="1"/>
    <xf numFmtId="0" fontId="0" fillId="5" borderId="41" xfId="0" applyFill="1" applyBorder="1"/>
    <xf numFmtId="3" fontId="11" fillId="8" borderId="0" xfId="0" applyNumberFormat="1" applyFont="1" applyFill="1"/>
    <xf numFmtId="0" fontId="0" fillId="5" borderId="35" xfId="0" applyFill="1" applyBorder="1"/>
    <xf numFmtId="0" fontId="0" fillId="7" borderId="35" xfId="0" applyFill="1" applyBorder="1"/>
    <xf numFmtId="0" fontId="0" fillId="5" borderId="35" xfId="0" applyFill="1" applyBorder="1" applyAlignment="1">
      <alignment horizontal="center"/>
    </xf>
    <xf numFmtId="0" fontId="0" fillId="9" borderId="0" xfId="0" applyFill="1" applyBorder="1" applyAlignment="1"/>
    <xf numFmtId="166" fontId="0" fillId="9" borderId="0" xfId="0" applyNumberFormat="1" applyFill="1"/>
    <xf numFmtId="0" fontId="11" fillId="8" borderId="30" xfId="0" applyFont="1" applyFill="1" applyBorder="1"/>
    <xf numFmtId="0" fontId="0" fillId="8" borderId="31" xfId="0" applyFill="1" applyBorder="1"/>
    <xf numFmtId="0" fontId="0" fillId="8" borderId="32" xfId="0" applyFill="1" applyBorder="1"/>
    <xf numFmtId="9" fontId="0" fillId="8" borderId="30" xfId="1" applyFont="1" applyFill="1" applyBorder="1"/>
    <xf numFmtId="0" fontId="0" fillId="0" borderId="0" xfId="0" applyFill="1" applyBorder="1"/>
    <xf numFmtId="0" fontId="11" fillId="0" borderId="0" xfId="0" applyFont="1" applyFill="1" applyBorder="1" applyAlignment="1">
      <alignment horizontal="right"/>
    </xf>
    <xf numFmtId="0" fontId="22" fillId="9" borderId="0" xfId="0" applyFont="1" applyFill="1"/>
    <xf numFmtId="3" fontId="12" fillId="9" borderId="0" xfId="0" applyNumberFormat="1" applyFont="1" applyFill="1" applyBorder="1"/>
    <xf numFmtId="3" fontId="12" fillId="8" borderId="37" xfId="0" applyNumberFormat="1" applyFont="1" applyFill="1" applyBorder="1"/>
    <xf numFmtId="3" fontId="12" fillId="5" borderId="44" xfId="0" applyNumberFormat="1" applyFont="1" applyFill="1" applyBorder="1"/>
    <xf numFmtId="3" fontId="12" fillId="5" borderId="45" xfId="0" applyNumberFormat="1" applyFont="1" applyFill="1" applyBorder="1"/>
    <xf numFmtId="0" fontId="11" fillId="5" borderId="34" xfId="0" applyFont="1" applyFill="1" applyBorder="1" applyAlignment="1">
      <alignment horizontal="center"/>
    </xf>
    <xf numFmtId="0" fontId="11" fillId="5" borderId="33" xfId="0" applyFont="1" applyFill="1" applyBorder="1" applyAlignment="1">
      <alignment horizontal="center"/>
    </xf>
    <xf numFmtId="0" fontId="11" fillId="5" borderId="30" xfId="0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11" fillId="5" borderId="32" xfId="0" applyFont="1" applyFill="1" applyBorder="1" applyAlignment="1">
      <alignment horizontal="center"/>
    </xf>
    <xf numFmtId="166" fontId="23" fillId="8" borderId="30" xfId="0" applyNumberFormat="1" applyFont="1" applyFill="1" applyBorder="1"/>
    <xf numFmtId="0" fontId="11" fillId="5" borderId="34" xfId="0" applyFont="1" applyFill="1" applyBorder="1"/>
    <xf numFmtId="0" fontId="0" fillId="5" borderId="49" xfId="0" applyFill="1" applyBorder="1"/>
    <xf numFmtId="3" fontId="22" fillId="0" borderId="47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11" fillId="5" borderId="29" xfId="0" applyFont="1" applyFill="1" applyBorder="1"/>
    <xf numFmtId="3" fontId="22" fillId="5" borderId="23" xfId="0" applyNumberFormat="1" applyFont="1" applyFill="1" applyBorder="1" applyAlignment="1">
      <alignment horizontal="center"/>
    </xf>
    <xf numFmtId="3" fontId="22" fillId="5" borderId="51" xfId="0" applyNumberFormat="1" applyFont="1" applyFill="1" applyBorder="1" applyAlignment="1">
      <alignment horizontal="center"/>
    </xf>
    <xf numFmtId="3" fontId="22" fillId="5" borderId="24" xfId="0" applyNumberFormat="1" applyFont="1" applyFill="1" applyBorder="1" applyAlignment="1">
      <alignment horizontal="center"/>
    </xf>
    <xf numFmtId="0" fontId="0" fillId="5" borderId="33" xfId="0" applyFill="1" applyBorder="1"/>
    <xf numFmtId="0" fontId="11" fillId="5" borderId="31" xfId="0" applyFont="1" applyFill="1" applyBorder="1" applyAlignment="1"/>
    <xf numFmtId="3" fontId="22" fillId="5" borderId="50" xfId="0" applyNumberFormat="1" applyFont="1" applyFill="1" applyBorder="1" applyAlignment="1">
      <alignment horizontal="center"/>
    </xf>
    <xf numFmtId="0" fontId="0" fillId="8" borderId="53" xfId="0" applyFill="1" applyBorder="1"/>
    <xf numFmtId="3" fontId="12" fillId="0" borderId="13" xfId="0" applyNumberFormat="1" applyFont="1" applyBorder="1"/>
    <xf numFmtId="3" fontId="12" fillId="5" borderId="48" xfId="0" applyNumberFormat="1" applyFont="1" applyFill="1" applyBorder="1"/>
    <xf numFmtId="3" fontId="12" fillId="0" borderId="47" xfId="0" applyNumberFormat="1" applyFont="1" applyBorder="1"/>
    <xf numFmtId="3" fontId="12" fillId="5" borderId="50" xfId="0" applyNumberFormat="1" applyFont="1" applyFill="1" applyBorder="1"/>
    <xf numFmtId="0" fontId="0" fillId="5" borderId="46" xfId="0" applyFill="1" applyBorder="1"/>
    <xf numFmtId="3" fontId="12" fillId="5" borderId="40" xfId="0" applyNumberFormat="1" applyFont="1" applyFill="1" applyBorder="1"/>
    <xf numFmtId="0" fontId="0" fillId="8" borderId="53" xfId="0" applyFill="1" applyBorder="1" applyAlignment="1"/>
    <xf numFmtId="0" fontId="11" fillId="7" borderId="34" xfId="0" applyFont="1" applyFill="1" applyBorder="1"/>
    <xf numFmtId="0" fontId="0" fillId="7" borderId="33" xfId="0" applyFill="1" applyBorder="1"/>
    <xf numFmtId="0" fontId="11" fillId="7" borderId="30" xfId="0" applyFont="1" applyFill="1" applyBorder="1"/>
    <xf numFmtId="3" fontId="12" fillId="7" borderId="31" xfId="0" applyNumberFormat="1" applyFont="1" applyFill="1" applyBorder="1"/>
    <xf numFmtId="3" fontId="12" fillId="7" borderId="32" xfId="0" applyNumberFormat="1" applyFont="1" applyFill="1" applyBorder="1"/>
    <xf numFmtId="0" fontId="0" fillId="9" borderId="0" xfId="0" applyFill="1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Protection="1"/>
    <xf numFmtId="0" fontId="18" fillId="0" borderId="0" xfId="0" applyFont="1" applyFill="1" applyAlignment="1" applyProtection="1">
      <alignment horizontal="center"/>
    </xf>
    <xf numFmtId="0" fontId="0" fillId="5" borderId="41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7" borderId="41" xfId="0" applyFill="1" applyBorder="1" applyAlignment="1" applyProtection="1">
      <alignment horizontal="center"/>
    </xf>
    <xf numFmtId="0" fontId="0" fillId="5" borderId="35" xfId="0" applyFill="1" applyBorder="1" applyAlignment="1" applyProtection="1">
      <alignment horizontal="center"/>
    </xf>
    <xf numFmtId="0" fontId="0" fillId="5" borderId="37" xfId="0" applyFill="1" applyBorder="1" applyAlignment="1" applyProtection="1">
      <alignment horizontal="center"/>
    </xf>
    <xf numFmtId="0" fontId="0" fillId="7" borderId="37" xfId="0" applyFill="1" applyBorder="1" applyAlignment="1" applyProtection="1">
      <alignment horizontal="center"/>
    </xf>
    <xf numFmtId="0" fontId="0" fillId="5" borderId="38" xfId="0" applyFill="1" applyBorder="1" applyAlignment="1" applyProtection="1">
      <alignment horizontal="center"/>
    </xf>
    <xf numFmtId="0" fontId="0" fillId="5" borderId="39" xfId="0" applyFill="1" applyBorder="1" applyAlignment="1" applyProtection="1">
      <alignment horizontal="center"/>
    </xf>
    <xf numFmtId="0" fontId="0" fillId="5" borderId="40" xfId="0" applyFill="1" applyBorder="1" applyAlignment="1" applyProtection="1">
      <alignment horizontal="center"/>
    </xf>
    <xf numFmtId="0" fontId="0" fillId="7" borderId="36" xfId="0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40" xfId="0" applyFill="1" applyBorder="1" applyAlignment="1" applyProtection="1">
      <alignment horizontal="center"/>
    </xf>
    <xf numFmtId="0" fontId="0" fillId="5" borderId="36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11" fillId="5" borderId="34" xfId="0" applyFont="1" applyFill="1" applyBorder="1" applyProtection="1"/>
    <xf numFmtId="3" fontId="22" fillId="5" borderId="33" xfId="0" applyNumberFormat="1" applyFont="1" applyFill="1" applyBorder="1" applyProtection="1"/>
    <xf numFmtId="0" fontId="0" fillId="5" borderId="35" xfId="0" applyFill="1" applyBorder="1" applyProtection="1"/>
    <xf numFmtId="3" fontId="22" fillId="7" borderId="33" xfId="0" applyNumberFormat="1" applyFont="1" applyFill="1" applyBorder="1" applyProtection="1"/>
    <xf numFmtId="0" fontId="0" fillId="7" borderId="37" xfId="0" applyFill="1" applyBorder="1" applyProtection="1"/>
    <xf numFmtId="0" fontId="0" fillId="5" borderId="37" xfId="0" applyFill="1" applyBorder="1" applyProtection="1"/>
    <xf numFmtId="0" fontId="0" fillId="7" borderId="46" xfId="0" applyFill="1" applyBorder="1" applyProtection="1"/>
    <xf numFmtId="0" fontId="0" fillId="8" borderId="36" xfId="0" applyFill="1" applyBorder="1" applyProtection="1"/>
    <xf numFmtId="3" fontId="22" fillId="0" borderId="13" xfId="0" applyNumberFormat="1" applyFont="1" applyBorder="1" applyProtection="1"/>
    <xf numFmtId="3" fontId="22" fillId="0" borderId="47" xfId="0" applyNumberFormat="1" applyFont="1" applyBorder="1" applyProtection="1"/>
    <xf numFmtId="0" fontId="11" fillId="5" borderId="49" xfId="0" applyFont="1" applyFill="1" applyBorder="1" applyAlignment="1" applyProtection="1">
      <alignment horizontal="right"/>
    </xf>
    <xf numFmtId="0" fontId="0" fillId="5" borderId="48" xfId="0" applyFill="1" applyBorder="1" applyProtection="1"/>
    <xf numFmtId="0" fontId="0" fillId="5" borderId="50" xfId="0" applyFill="1" applyBorder="1" applyProtection="1"/>
    <xf numFmtId="0" fontId="0" fillId="5" borderId="40" xfId="0" applyFill="1" applyBorder="1" applyProtection="1"/>
    <xf numFmtId="0" fontId="0" fillId="7" borderId="48" xfId="0" applyFill="1" applyBorder="1" applyProtection="1"/>
    <xf numFmtId="0" fontId="0" fillId="7" borderId="50" xfId="0" applyFill="1" applyBorder="1" applyProtection="1"/>
    <xf numFmtId="0" fontId="0" fillId="7" borderId="42" xfId="0" applyFill="1" applyBorder="1" applyProtection="1"/>
    <xf numFmtId="0" fontId="0" fillId="5" borderId="42" xfId="0" applyFill="1" applyBorder="1" applyProtection="1"/>
    <xf numFmtId="0" fontId="11" fillId="0" borderId="0" xfId="0" applyFont="1" applyFill="1" applyBorder="1" applyAlignment="1" applyProtection="1">
      <alignment horizontal="right"/>
    </xf>
    <xf numFmtId="0" fontId="0" fillId="7" borderId="35" xfId="0" applyFill="1" applyBorder="1" applyProtection="1"/>
    <xf numFmtId="0" fontId="0" fillId="7" borderId="41" xfId="0" applyFill="1" applyBorder="1" applyProtection="1"/>
    <xf numFmtId="0" fontId="0" fillId="8" borderId="53" xfId="0" applyFill="1" applyBorder="1" applyProtection="1"/>
    <xf numFmtId="0" fontId="0" fillId="7" borderId="40" xfId="0" applyFill="1" applyBorder="1" applyProtection="1"/>
    <xf numFmtId="0" fontId="0" fillId="5" borderId="48" xfId="0" applyNumberFormat="1" applyFill="1" applyBorder="1" applyProtection="1"/>
    <xf numFmtId="0" fontId="11" fillId="7" borderId="54" xfId="0" applyFont="1" applyFill="1" applyBorder="1" applyProtection="1"/>
    <xf numFmtId="0" fontId="0" fillId="7" borderId="2" xfId="0" applyFill="1" applyBorder="1" applyProtection="1"/>
    <xf numFmtId="0" fontId="0" fillId="9" borderId="0" xfId="0" applyFill="1" applyBorder="1" applyProtection="1"/>
    <xf numFmtId="0" fontId="0" fillId="0" borderId="0" xfId="0" applyBorder="1" applyAlignment="1" applyProtection="1">
      <alignment wrapText="1"/>
    </xf>
    <xf numFmtId="0" fontId="11" fillId="0" borderId="1" xfId="0" applyFont="1" applyBorder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right"/>
    </xf>
    <xf numFmtId="0" fontId="0" fillId="8" borderId="5" xfId="0" applyFill="1" applyBorder="1" applyAlignment="1" applyProtection="1"/>
    <xf numFmtId="0" fontId="0" fillId="8" borderId="6" xfId="0" applyFill="1" applyBorder="1" applyAlignment="1" applyProtection="1"/>
    <xf numFmtId="167" fontId="0" fillId="5" borderId="0" xfId="0" applyNumberFormat="1" applyFill="1" applyProtection="1"/>
    <xf numFmtId="0" fontId="0" fillId="8" borderId="0" xfId="0" applyFill="1" applyAlignment="1" applyProtection="1"/>
    <xf numFmtId="0" fontId="0" fillId="8" borderId="13" xfId="0" applyFill="1" applyBorder="1" applyAlignment="1" applyProtection="1"/>
    <xf numFmtId="0" fontId="0" fillId="5" borderId="1" xfId="0" applyFill="1" applyBorder="1" applyProtection="1"/>
    <xf numFmtId="9" fontId="0" fillId="5" borderId="1" xfId="1" applyFont="1" applyFill="1" applyBorder="1" applyProtection="1"/>
    <xf numFmtId="167" fontId="0" fillId="5" borderId="1" xfId="0" applyNumberFormat="1" applyFill="1" applyBorder="1" applyProtection="1"/>
    <xf numFmtId="3" fontId="22" fillId="8" borderId="52" xfId="0" applyNumberFormat="1" applyFont="1" applyFill="1" applyBorder="1" applyAlignment="1">
      <alignment horizontal="center"/>
    </xf>
    <xf numFmtId="0" fontId="11" fillId="5" borderId="35" xfId="0" applyFont="1" applyFill="1" applyBorder="1" applyAlignment="1">
      <alignment horizontal="center"/>
    </xf>
    <xf numFmtId="0" fontId="0" fillId="5" borderId="42" xfId="0" applyFill="1" applyBorder="1"/>
    <xf numFmtId="0" fontId="0" fillId="8" borderId="4" xfId="0" applyFill="1" applyBorder="1" applyProtection="1"/>
    <xf numFmtId="0" fontId="0" fillId="8" borderId="12" xfId="0" applyFill="1" applyBorder="1" applyProtection="1"/>
    <xf numFmtId="3" fontId="22" fillId="7" borderId="55" xfId="0" applyNumberFormat="1" applyFont="1" applyFill="1" applyBorder="1" applyProtection="1"/>
    <xf numFmtId="3" fontId="22" fillId="5" borderId="55" xfId="0" applyNumberFormat="1" applyFont="1" applyFill="1" applyBorder="1" applyProtection="1"/>
    <xf numFmtId="166" fontId="27" fillId="8" borderId="33" xfId="0" applyNumberFormat="1" applyFont="1" applyFill="1" applyBorder="1"/>
    <xf numFmtId="166" fontId="27" fillId="8" borderId="0" xfId="0" applyNumberFormat="1" applyFont="1" applyFill="1" applyBorder="1"/>
    <xf numFmtId="166" fontId="27" fillId="8" borderId="39" xfId="0" applyNumberFormat="1" applyFont="1" applyFill="1" applyBorder="1"/>
    <xf numFmtId="166" fontId="27" fillId="8" borderId="31" xfId="0" applyNumberFormat="1" applyFont="1" applyFill="1" applyBorder="1"/>
    <xf numFmtId="166" fontId="23" fillId="8" borderId="34" xfId="0" applyNumberFormat="1" applyFont="1" applyFill="1" applyBorder="1"/>
    <xf numFmtId="166" fontId="23" fillId="8" borderId="36" xfId="0" applyNumberFormat="1" applyFont="1" applyFill="1" applyBorder="1"/>
    <xf numFmtId="166" fontId="23" fillId="8" borderId="38" xfId="0" applyNumberFormat="1" applyFont="1" applyFill="1" applyBorder="1"/>
    <xf numFmtId="0" fontId="0" fillId="0" borderId="49" xfId="0" applyFill="1" applyBorder="1"/>
    <xf numFmtId="3" fontId="12" fillId="0" borderId="48" xfId="0" applyNumberFormat="1" applyFont="1" applyBorder="1"/>
    <xf numFmtId="3" fontId="12" fillId="0" borderId="40" xfId="0" applyNumberFormat="1" applyFont="1" applyFill="1" applyBorder="1"/>
    <xf numFmtId="0" fontId="11" fillId="5" borderId="11" xfId="0" applyFont="1" applyFill="1" applyBorder="1" applyAlignment="1">
      <alignment vertical="center"/>
    </xf>
    <xf numFmtId="3" fontId="12" fillId="7" borderId="35" xfId="0" applyNumberFormat="1" applyFont="1" applyFill="1" applyBorder="1"/>
    <xf numFmtId="0" fontId="0" fillId="7" borderId="34" xfId="0" applyFill="1" applyBorder="1"/>
    <xf numFmtId="3" fontId="12" fillId="7" borderId="33" xfId="0" applyNumberFormat="1" applyFont="1" applyFill="1" applyBorder="1"/>
    <xf numFmtId="0" fontId="0" fillId="7" borderId="34" xfId="0" applyFont="1" applyFill="1" applyBorder="1"/>
    <xf numFmtId="0" fontId="0" fillId="5" borderId="49" xfId="0" applyFill="1" applyBorder="1" applyAlignment="1"/>
    <xf numFmtId="3" fontId="12" fillId="5" borderId="56" xfId="0" applyNumberFormat="1" applyFont="1" applyFill="1" applyBorder="1"/>
    <xf numFmtId="0" fontId="29" fillId="0" borderId="0" xfId="2" applyAlignment="1" applyProtection="1"/>
    <xf numFmtId="3" fontId="22" fillId="0" borderId="13" xfId="0" applyNumberFormat="1" applyFont="1" applyFill="1" applyBorder="1" applyProtection="1"/>
    <xf numFmtId="3" fontId="22" fillId="0" borderId="47" xfId="0" applyNumberFormat="1" applyFont="1" applyFill="1" applyBorder="1" applyProtection="1"/>
    <xf numFmtId="0" fontId="0" fillId="0" borderId="13" xfId="0" applyBorder="1" applyProtection="1"/>
    <xf numFmtId="0" fontId="0" fillId="0" borderId="47" xfId="0" applyBorder="1" applyProtection="1"/>
    <xf numFmtId="0" fontId="0" fillId="7" borderId="52" xfId="0" applyFill="1" applyBorder="1" applyProtection="1"/>
    <xf numFmtId="0" fontId="0" fillId="5" borderId="52" xfId="0" applyFill="1" applyBorder="1" applyProtection="1"/>
    <xf numFmtId="0" fontId="0" fillId="8" borderId="26" xfId="0" applyFill="1" applyBorder="1" applyProtection="1"/>
    <xf numFmtId="167" fontId="0" fillId="5" borderId="26" xfId="0" applyNumberFormat="1" applyFill="1" applyBorder="1" applyProtection="1"/>
    <xf numFmtId="167" fontId="0" fillId="5" borderId="4" xfId="0" applyNumberFormat="1" applyFill="1" applyBorder="1" applyProtection="1"/>
    <xf numFmtId="0" fontId="0" fillId="8" borderId="47" xfId="0" applyFill="1" applyBorder="1" applyProtection="1"/>
    <xf numFmtId="167" fontId="0" fillId="5" borderId="47" xfId="0" applyNumberFormat="1" applyFill="1" applyBorder="1" applyProtection="1"/>
    <xf numFmtId="167" fontId="0" fillId="5" borderId="12" xfId="0" applyNumberFormat="1" applyFill="1" applyBorder="1" applyProtection="1"/>
    <xf numFmtId="0" fontId="0" fillId="5" borderId="8" xfId="0" applyFill="1" applyBorder="1" applyProtection="1"/>
    <xf numFmtId="0" fontId="0" fillId="5" borderId="14" xfId="0" applyFill="1" applyBorder="1" applyProtection="1"/>
    <xf numFmtId="167" fontId="0" fillId="5" borderId="14" xfId="0" applyNumberFormat="1" applyFill="1" applyBorder="1" applyProtection="1"/>
    <xf numFmtId="0" fontId="0" fillId="8" borderId="4" xfId="0" applyFill="1" applyBorder="1" applyAlignment="1" applyProtection="1"/>
    <xf numFmtId="0" fontId="0" fillId="8" borderId="12" xfId="0" applyFill="1" applyBorder="1" applyAlignment="1" applyProtection="1"/>
    <xf numFmtId="0" fontId="0" fillId="5" borderId="7" xfId="0" applyFill="1" applyBorder="1" applyProtection="1"/>
    <xf numFmtId="9" fontId="0" fillId="5" borderId="7" xfId="1" applyFont="1" applyFill="1" applyBorder="1" applyProtection="1"/>
    <xf numFmtId="0" fontId="0" fillId="8" borderId="0" xfId="0" applyFill="1" applyBorder="1" applyProtection="1"/>
    <xf numFmtId="0" fontId="0" fillId="8" borderId="0" xfId="0" applyFill="1" applyBorder="1" applyAlignment="1" applyProtection="1"/>
    <xf numFmtId="0" fontId="0" fillId="0" borderId="53" xfId="0" applyFill="1" applyBorder="1" applyProtection="1"/>
    <xf numFmtId="0" fontId="0" fillId="9" borderId="53" xfId="0" applyFill="1" applyBorder="1" applyProtection="1"/>
    <xf numFmtId="3" fontId="0" fillId="5" borderId="50" xfId="0" applyNumberFormat="1" applyFill="1" applyBorder="1" applyProtection="1"/>
    <xf numFmtId="0" fontId="0" fillId="8" borderId="36" xfId="0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32" fillId="9" borderId="0" xfId="0" applyFont="1" applyFill="1"/>
    <xf numFmtId="0" fontId="32" fillId="0" borderId="0" xfId="0" applyFont="1"/>
    <xf numFmtId="0" fontId="11" fillId="0" borderId="0" xfId="0" applyFont="1"/>
    <xf numFmtId="0" fontId="23" fillId="0" borderId="0" xfId="0" applyFont="1"/>
    <xf numFmtId="0" fontId="0" fillId="0" borderId="0" xfId="0" applyAlignment="1">
      <alignment wrapText="1"/>
    </xf>
    <xf numFmtId="0" fontId="11" fillId="5" borderId="0" xfId="0" applyFont="1" applyFill="1" applyAlignment="1">
      <alignment horizontal="center"/>
    </xf>
    <xf numFmtId="0" fontId="2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3" fillId="6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30" xfId="0" applyFont="1" applyFill="1" applyBorder="1" applyAlignment="1">
      <alignment horizontal="left"/>
    </xf>
    <xf numFmtId="0" fontId="11" fillId="6" borderId="32" xfId="0" applyFont="1" applyFill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24" fillId="0" borderId="0" xfId="0" applyFont="1" applyAlignment="1">
      <alignment horizontal="center"/>
    </xf>
    <xf numFmtId="0" fontId="0" fillId="0" borderId="4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9" fontId="0" fillId="0" borderId="4" xfId="1" applyFont="1" applyBorder="1" applyAlignment="1" applyProtection="1">
      <alignment horizontal="center"/>
    </xf>
    <xf numFmtId="9" fontId="0" fillId="0" borderId="6" xfId="1" applyFont="1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9" fontId="0" fillId="0" borderId="26" xfId="1" applyFont="1" applyBorder="1" applyAlignment="1" applyProtection="1">
      <alignment horizontal="center"/>
    </xf>
    <xf numFmtId="0" fontId="0" fillId="0" borderId="47" xfId="0" applyBorder="1" applyAlignment="1" applyProtection="1">
      <alignment horizontal="center"/>
    </xf>
    <xf numFmtId="9" fontId="0" fillId="0" borderId="47" xfId="1" applyFont="1" applyBorder="1" applyAlignment="1" applyProtection="1">
      <alignment horizontal="center"/>
    </xf>
    <xf numFmtId="0" fontId="15" fillId="9" borderId="0" xfId="0" applyFont="1" applyFill="1" applyAlignment="1">
      <alignment horizontal="left" wrapText="1"/>
    </xf>
    <xf numFmtId="0" fontId="15" fillId="9" borderId="0" xfId="0" applyFont="1" applyFill="1" applyAlignment="1">
      <alignment horizontal="left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0" fillId="5" borderId="8" xfId="0" applyFill="1" applyBorder="1" applyAlignment="1" applyProtection="1">
      <alignment horizontal="center"/>
    </xf>
    <xf numFmtId="0" fontId="0" fillId="5" borderId="14" xfId="0" applyFill="1" applyBorder="1" applyAlignment="1" applyProtection="1">
      <alignment horizontal="center"/>
    </xf>
    <xf numFmtId="9" fontId="0" fillId="0" borderId="12" xfId="1" applyFont="1" applyBorder="1" applyAlignment="1" applyProtection="1">
      <alignment horizontal="center"/>
    </xf>
    <xf numFmtId="9" fontId="0" fillId="0" borderId="13" xfId="1" applyFont="1" applyBorder="1" applyAlignment="1" applyProtection="1">
      <alignment horizontal="center"/>
    </xf>
    <xf numFmtId="0" fontId="11" fillId="7" borderId="41" xfId="0" applyFont="1" applyFill="1" applyBorder="1" applyAlignment="1" applyProtection="1">
      <alignment horizontal="center" vertical="top" wrapText="1"/>
    </xf>
    <xf numFmtId="0" fontId="11" fillId="7" borderId="46" xfId="0" applyFont="1" applyFill="1" applyBorder="1" applyAlignment="1" applyProtection="1">
      <alignment horizontal="center" vertical="top" wrapText="1"/>
    </xf>
    <xf numFmtId="0" fontId="11" fillId="7" borderId="42" xfId="0" applyFont="1" applyFill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wrapText="1"/>
    </xf>
    <xf numFmtId="0" fontId="11" fillId="5" borderId="34" xfId="0" applyFont="1" applyFill="1" applyBorder="1" applyAlignment="1" applyProtection="1">
      <alignment horizontal="center"/>
    </xf>
    <xf numFmtId="0" fontId="11" fillId="5" borderId="33" xfId="0" applyFont="1" applyFill="1" applyBorder="1" applyAlignment="1" applyProtection="1">
      <alignment horizontal="center"/>
    </xf>
    <xf numFmtId="0" fontId="11" fillId="5" borderId="35" xfId="0" applyFont="1" applyFill="1" applyBorder="1" applyAlignment="1" applyProtection="1">
      <alignment horizontal="center"/>
    </xf>
    <xf numFmtId="0" fontId="11" fillId="8" borderId="37" xfId="0" applyFont="1" applyFill="1" applyBorder="1" applyAlignment="1" applyProtection="1">
      <alignment horizontal="center" vertical="center" wrapText="1"/>
    </xf>
    <xf numFmtId="0" fontId="11" fillId="8" borderId="40" xfId="0" applyFont="1" applyFill="1" applyBorder="1" applyAlignment="1" applyProtection="1">
      <alignment horizontal="center" vertical="center" wrapText="1"/>
    </xf>
    <xf numFmtId="0" fontId="11" fillId="5" borderId="30" xfId="0" applyFont="1" applyFill="1" applyBorder="1" applyAlignment="1" applyProtection="1">
      <alignment horizontal="center"/>
    </xf>
    <xf numFmtId="0" fontId="11" fillId="5" borderId="31" xfId="0" applyFont="1" applyFill="1" applyBorder="1" applyAlignment="1" applyProtection="1">
      <alignment horizontal="center"/>
    </xf>
    <xf numFmtId="0" fontId="11" fillId="5" borderId="32" xfId="0" applyFont="1" applyFill="1" applyBorder="1" applyAlignment="1" applyProtection="1">
      <alignment horizontal="center"/>
    </xf>
    <xf numFmtId="0" fontId="11" fillId="7" borderId="30" xfId="0" applyFont="1" applyFill="1" applyBorder="1" applyAlignment="1" applyProtection="1">
      <alignment horizontal="center"/>
    </xf>
    <xf numFmtId="0" fontId="11" fillId="7" borderId="31" xfId="0" applyFont="1" applyFill="1" applyBorder="1" applyAlignment="1" applyProtection="1">
      <alignment horizontal="center"/>
    </xf>
    <xf numFmtId="0" fontId="11" fillId="7" borderId="32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Fill="1" applyAlignment="1" applyProtection="1">
      <alignment horizontal="center" vertical="top" wrapText="1"/>
    </xf>
    <xf numFmtId="0" fontId="11" fillId="7" borderId="34" xfId="0" applyFont="1" applyFill="1" applyBorder="1" applyAlignment="1" applyProtection="1">
      <alignment horizontal="center"/>
    </xf>
    <xf numFmtId="0" fontId="11" fillId="7" borderId="33" xfId="0" applyFont="1" applyFill="1" applyBorder="1" applyAlignment="1" applyProtection="1">
      <alignment horizontal="center"/>
    </xf>
    <xf numFmtId="0" fontId="11" fillId="7" borderId="35" xfId="0" applyFont="1" applyFill="1" applyBorder="1" applyAlignment="1" applyProtection="1">
      <alignment horizontal="center"/>
    </xf>
    <xf numFmtId="0" fontId="7" fillId="6" borderId="27" xfId="0" applyFont="1" applyFill="1" applyBorder="1" applyAlignment="1">
      <alignment horizontal="right" vertical="top" wrapText="1"/>
    </xf>
    <xf numFmtId="0" fontId="0" fillId="6" borderId="11" xfId="0" applyFill="1" applyBorder="1"/>
    <xf numFmtId="0" fontId="8" fillId="6" borderId="27" xfId="0" applyFont="1" applyFill="1" applyBorder="1" applyAlignment="1">
      <alignment horizontal="right" vertical="top" wrapText="1"/>
    </xf>
    <xf numFmtId="0" fontId="8" fillId="6" borderId="22" xfId="0" applyFont="1" applyFill="1" applyBorder="1" applyAlignment="1">
      <alignment horizontal="left" vertical="center" wrapText="1"/>
    </xf>
    <xf numFmtId="0" fontId="0" fillId="6" borderId="19" xfId="0" applyFill="1" applyBorder="1"/>
    <xf numFmtId="0" fontId="6" fillId="6" borderId="9" xfId="0" applyFont="1" applyFill="1" applyBorder="1" applyAlignment="1">
      <alignment horizontal="center" vertical="top" wrapText="1"/>
    </xf>
    <xf numFmtId="0" fontId="0" fillId="6" borderId="28" xfId="0" applyFill="1" applyBorder="1"/>
    <xf numFmtId="0" fontId="11" fillId="8" borderId="0" xfId="0" applyFont="1" applyFill="1" applyAlignment="1">
      <alignment horizontal="left" vertical="top" wrapText="1"/>
    </xf>
    <xf numFmtId="0" fontId="7" fillId="6" borderId="29" xfId="0" applyFont="1" applyFill="1" applyBorder="1" applyAlignment="1">
      <alignment horizontal="right" vertical="top" wrapText="1"/>
    </xf>
    <xf numFmtId="0" fontId="0" fillId="6" borderId="25" xfId="0" applyFill="1" applyBorder="1"/>
    <xf numFmtId="0" fontId="7" fillId="6" borderId="27" xfId="0" applyFont="1" applyFill="1" applyBorder="1" applyAlignment="1">
      <alignment vertical="top" wrapText="1"/>
    </xf>
    <xf numFmtId="0" fontId="7" fillId="6" borderId="27" xfId="0" applyFont="1" applyFill="1" applyBorder="1" applyAlignment="1">
      <alignment horizontal="center" vertical="top" wrapText="1"/>
    </xf>
    <xf numFmtId="0" fontId="15" fillId="8" borderId="0" xfId="0" applyFont="1" applyFill="1" applyAlignment="1">
      <alignment horizontal="left" wrapText="1"/>
    </xf>
    <xf numFmtId="0" fontId="5" fillId="6" borderId="27" xfId="0" applyFont="1" applyFill="1" applyBorder="1" applyAlignment="1">
      <alignment vertical="top" wrapText="1"/>
    </xf>
    <xf numFmtId="0" fontId="4" fillId="6" borderId="16" xfId="0" applyFont="1" applyFill="1" applyBorder="1" applyAlignment="1">
      <alignment horizontal="left" vertical="top" wrapText="1" indent="3"/>
    </xf>
    <xf numFmtId="0" fontId="0" fillId="6" borderId="17" xfId="0" applyFill="1" applyBorder="1"/>
    <xf numFmtId="0" fontId="0" fillId="6" borderId="18" xfId="0" applyFill="1" applyBorder="1"/>
    <xf numFmtId="0" fontId="5" fillId="6" borderId="27" xfId="0" applyFont="1" applyFill="1" applyBorder="1" applyAlignment="1">
      <alignment horizontal="center" vertical="top" wrapText="1"/>
    </xf>
    <xf numFmtId="0" fontId="6" fillId="6" borderId="26" xfId="0" applyFont="1" applyFill="1" applyBorder="1" applyAlignment="1">
      <alignment horizontal="center" vertical="top" wrapText="1"/>
    </xf>
    <xf numFmtId="0" fontId="0" fillId="6" borderId="14" xfId="0" applyFill="1" applyBorder="1"/>
    <xf numFmtId="0" fontId="6" fillId="6" borderId="26" xfId="0" applyFont="1" applyFill="1" applyBorder="1" applyAlignment="1">
      <alignment vertical="top" wrapText="1"/>
    </xf>
    <xf numFmtId="0" fontId="6" fillId="6" borderId="4" xfId="0" applyFont="1" applyFill="1" applyBorder="1" applyAlignment="1">
      <alignment horizontal="center" vertical="top" wrapText="1"/>
    </xf>
    <xf numFmtId="0" fontId="0" fillId="6" borderId="20" xfId="0" applyFill="1" applyBorder="1"/>
    <xf numFmtId="0" fontId="0" fillId="6" borderId="7" xfId="0" applyFill="1" applyBorder="1"/>
    <xf numFmtId="0" fontId="0" fillId="6" borderId="21" xfId="0" applyFill="1" applyBorder="1"/>
    <xf numFmtId="0" fontId="9" fillId="6" borderId="27" xfId="0" applyFont="1" applyFill="1" applyBorder="1" applyAlignment="1">
      <alignment horizontal="center" vertical="top" wrapText="1"/>
    </xf>
    <xf numFmtId="0" fontId="13" fillId="5" borderId="36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1" fillId="5" borderId="30" xfId="0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11" fillId="5" borderId="32" xfId="0" applyFont="1" applyFill="1" applyBorder="1" applyAlignment="1">
      <alignment horizontal="center"/>
    </xf>
    <xf numFmtId="0" fontId="0" fillId="8" borderId="34" xfId="0" applyFill="1" applyBorder="1" applyAlignment="1">
      <alignment horizontal="left"/>
    </xf>
    <xf numFmtId="0" fontId="0" fillId="8" borderId="33" xfId="0" applyFill="1" applyBorder="1" applyAlignment="1">
      <alignment horizontal="left"/>
    </xf>
    <xf numFmtId="0" fontId="0" fillId="8" borderId="35" xfId="0" applyFill="1" applyBorder="1" applyAlignment="1">
      <alignment horizontal="left"/>
    </xf>
    <xf numFmtId="0" fontId="0" fillId="8" borderId="36" xfId="0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0" fillId="8" borderId="37" xfId="0" applyFill="1" applyBorder="1" applyAlignment="1">
      <alignment horizontal="left"/>
    </xf>
    <xf numFmtId="0" fontId="0" fillId="8" borderId="38" xfId="0" applyFill="1" applyBorder="1" applyAlignment="1">
      <alignment horizontal="left"/>
    </xf>
    <xf numFmtId="0" fontId="0" fillId="8" borderId="39" xfId="0" applyFill="1" applyBorder="1" applyAlignment="1">
      <alignment horizontal="left"/>
    </xf>
    <xf numFmtId="0" fontId="0" fillId="8" borderId="40" xfId="0" applyFill="1" applyBorder="1" applyAlignment="1">
      <alignment horizontal="left"/>
    </xf>
    <xf numFmtId="166" fontId="15" fillId="9" borderId="0" xfId="0" applyNumberFormat="1" applyFont="1" applyFill="1" applyAlignment="1">
      <alignment horizontal="left"/>
    </xf>
    <xf numFmtId="0" fontId="23" fillId="0" borderId="0" xfId="0" applyFont="1" applyAlignment="1">
      <alignment horizontal="left" wrapText="1"/>
    </xf>
    <xf numFmtId="0" fontId="17" fillId="8" borderId="30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32" xfId="0" applyFont="1" applyFill="1" applyBorder="1" applyAlignment="1">
      <alignment horizontal="center"/>
    </xf>
    <xf numFmtId="0" fontId="11" fillId="8" borderId="34" xfId="0" applyFont="1" applyFill="1" applyBorder="1" applyAlignment="1">
      <alignment horizontal="center"/>
    </xf>
    <xf numFmtId="0" fontId="11" fillId="8" borderId="33" xfId="0" applyFont="1" applyFill="1" applyBorder="1" applyAlignment="1">
      <alignment horizontal="center"/>
    </xf>
    <xf numFmtId="0" fontId="11" fillId="8" borderId="35" xfId="0" applyFont="1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0" fillId="8" borderId="39" xfId="0" applyFont="1" applyFill="1" applyBorder="1" applyAlignment="1">
      <alignment horizontal="center"/>
    </xf>
    <xf numFmtId="0" fontId="0" fillId="8" borderId="40" xfId="0" applyFont="1" applyFill="1" applyBorder="1" applyAlignment="1">
      <alignment horizontal="center"/>
    </xf>
    <xf numFmtId="0" fontId="15" fillId="9" borderId="0" xfId="0" applyFont="1" applyFill="1" applyAlignment="1">
      <alignment horizontal="left" vertical="top" wrapText="1"/>
    </xf>
    <xf numFmtId="0" fontId="11" fillId="8" borderId="0" xfId="0" applyFont="1" applyFill="1" applyAlignment="1">
      <alignment horizontal="left"/>
    </xf>
    <xf numFmtId="0" fontId="17" fillId="8" borderId="36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1" fillId="8" borderId="34" xfId="0" applyFont="1" applyFill="1" applyBorder="1" applyAlignment="1">
      <alignment horizontal="left" vertical="top" wrapText="1"/>
    </xf>
    <xf numFmtId="0" fontId="11" fillId="8" borderId="33" xfId="0" applyFont="1" applyFill="1" applyBorder="1" applyAlignment="1">
      <alignment horizontal="left" vertical="top" wrapText="1"/>
    </xf>
    <xf numFmtId="0" fontId="11" fillId="8" borderId="35" xfId="0" applyFont="1" applyFill="1" applyBorder="1" applyAlignment="1">
      <alignment horizontal="left" vertical="top" wrapText="1"/>
    </xf>
    <xf numFmtId="0" fontId="11" fillId="8" borderId="36" xfId="0" applyFont="1" applyFill="1" applyBorder="1" applyAlignment="1">
      <alignment horizontal="left" vertical="top" wrapText="1"/>
    </xf>
    <xf numFmtId="0" fontId="11" fillId="8" borderId="0" xfId="0" applyFont="1" applyFill="1" applyBorder="1" applyAlignment="1">
      <alignment horizontal="left" vertical="top" wrapText="1"/>
    </xf>
    <xf numFmtId="0" fontId="11" fillId="8" borderId="37" xfId="0" applyFont="1" applyFill="1" applyBorder="1" applyAlignment="1">
      <alignment horizontal="left" vertical="top" wrapText="1"/>
    </xf>
    <xf numFmtId="0" fontId="11" fillId="8" borderId="38" xfId="0" applyFont="1" applyFill="1" applyBorder="1" applyAlignment="1">
      <alignment horizontal="left" vertical="top" wrapText="1"/>
    </xf>
    <xf numFmtId="0" fontId="11" fillId="8" borderId="39" xfId="0" applyFont="1" applyFill="1" applyBorder="1" applyAlignment="1">
      <alignment horizontal="left" vertical="top" wrapText="1"/>
    </xf>
    <xf numFmtId="0" fontId="11" fillId="8" borderId="40" xfId="0" applyFont="1" applyFill="1" applyBorder="1" applyAlignment="1">
      <alignment horizontal="left" vertical="top" wrapText="1"/>
    </xf>
    <xf numFmtId="0" fontId="2" fillId="0" borderId="33" xfId="0" applyFont="1" applyBorder="1" applyAlignment="1">
      <alignment horizontal="left" wrapText="1"/>
    </xf>
    <xf numFmtId="0" fontId="17" fillId="5" borderId="30" xfId="0" applyFont="1" applyFill="1" applyBorder="1" applyAlignment="1">
      <alignment horizontal="center"/>
    </xf>
    <xf numFmtId="0" fontId="17" fillId="5" borderId="31" xfId="0" applyFont="1" applyFill="1" applyBorder="1" applyAlignment="1">
      <alignment horizontal="center"/>
    </xf>
    <xf numFmtId="0" fontId="17" fillId="5" borderId="32" xfId="0" applyFont="1" applyFill="1" applyBorder="1" applyAlignment="1">
      <alignment horizontal="center"/>
    </xf>
    <xf numFmtId="0" fontId="0" fillId="0" borderId="3" xfId="0" applyBorder="1" applyAlignment="1">
      <alignment horizontal="left"/>
    </xf>
  </cellXfs>
  <cellStyles count="42">
    <cellStyle name="Excel Built-in Normal" xfId="7"/>
    <cellStyle name="Excel Built-in Percent" xfId="8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41177733051"/>
          <c:y val="0.051440251900435"/>
          <c:w val="0.472423670098235"/>
          <c:h val="0.7980692303005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Rekstur!$A$6</c:f>
              <c:strCache>
                <c:ptCount val="1"/>
                <c:pt idx="0">
                  <c:v>SARWeather - lag 1 (t.d. GDACS)</c:v>
                </c:pt>
              </c:strCache>
            </c:strRef>
          </c:tx>
          <c:invertIfNegative val="0"/>
          <c:val>
            <c:numRef>
              <c:f>Rekstur!$B$6:$K$6</c:f>
              <c:numCache>
                <c:formatCode>#,##0</c:formatCode>
                <c:ptCount val="10"/>
                <c:pt idx="0">
                  <c:v>10800.0</c:v>
                </c:pt>
                <c:pt idx="1">
                  <c:v>28800.0</c:v>
                </c:pt>
                <c:pt idx="2">
                  <c:v>43200.0</c:v>
                </c:pt>
                <c:pt idx="3">
                  <c:v>57600.0</c:v>
                </c:pt>
                <c:pt idx="4">
                  <c:v>57600.0</c:v>
                </c:pt>
                <c:pt idx="5">
                  <c:v>57600.0</c:v>
                </c:pt>
                <c:pt idx="6">
                  <c:v>57600.0</c:v>
                </c:pt>
                <c:pt idx="7">
                  <c:v>57600.0</c:v>
                </c:pt>
                <c:pt idx="8">
                  <c:v>57600.0</c:v>
                </c:pt>
                <c:pt idx="9">
                  <c:v>57600.0</c:v>
                </c:pt>
              </c:numCache>
            </c:numRef>
          </c:val>
        </c:ser>
        <c:ser>
          <c:idx val="1"/>
          <c:order val="1"/>
          <c:tx>
            <c:strRef>
              <c:f>Rekstur!$A$7</c:f>
              <c:strCache>
                <c:ptCount val="1"/>
                <c:pt idx="0">
                  <c:v>SARWeather - lag 2 (t.d. IS-samhæfingarstöð)</c:v>
                </c:pt>
              </c:strCache>
            </c:strRef>
          </c:tx>
          <c:invertIfNegative val="0"/>
          <c:val>
            <c:numRef>
              <c:f>Rekstur!$B$7:$K$7</c:f>
              <c:numCache>
                <c:formatCode>#,##0</c:formatCode>
                <c:ptCount val="10"/>
                <c:pt idx="0">
                  <c:v>7200.0</c:v>
                </c:pt>
                <c:pt idx="1">
                  <c:v>36000.0</c:v>
                </c:pt>
                <c:pt idx="2">
                  <c:v>50400.0</c:v>
                </c:pt>
                <c:pt idx="3">
                  <c:v>93600.0</c:v>
                </c:pt>
                <c:pt idx="4">
                  <c:v>108000.0</c:v>
                </c:pt>
                <c:pt idx="5">
                  <c:v>122400.0</c:v>
                </c:pt>
                <c:pt idx="6">
                  <c:v>136800.0</c:v>
                </c:pt>
                <c:pt idx="7">
                  <c:v>151200.0</c:v>
                </c:pt>
                <c:pt idx="8">
                  <c:v>165600.0</c:v>
                </c:pt>
                <c:pt idx="9">
                  <c:v>180000.0</c:v>
                </c:pt>
              </c:numCache>
            </c:numRef>
          </c:val>
        </c:ser>
        <c:ser>
          <c:idx val="2"/>
          <c:order val="2"/>
          <c:tx>
            <c:strRef>
              <c:f>Rekstur!$A$8</c:f>
              <c:strCache>
                <c:ptCount val="1"/>
                <c:pt idx="0">
                  <c:v>SARWeather - lag 3 (D4H)</c:v>
                </c:pt>
              </c:strCache>
            </c:strRef>
          </c:tx>
          <c:invertIfNegative val="0"/>
          <c:val>
            <c:numRef>
              <c:f>Rekstur!$B$8:$K$8</c:f>
              <c:numCache>
                <c:formatCode>#,##0</c:formatCode>
                <c:ptCount val="10"/>
                <c:pt idx="0">
                  <c:v>10500.0</c:v>
                </c:pt>
                <c:pt idx="1">
                  <c:v>31500.0</c:v>
                </c:pt>
                <c:pt idx="2">
                  <c:v>94499.0</c:v>
                </c:pt>
                <c:pt idx="3">
                  <c:v>264375.0</c:v>
                </c:pt>
                <c:pt idx="4">
                  <c:v>290813.0</c:v>
                </c:pt>
                <c:pt idx="5">
                  <c:v>319894.0</c:v>
                </c:pt>
                <c:pt idx="6">
                  <c:v>351883.0</c:v>
                </c:pt>
                <c:pt idx="7">
                  <c:v>387071.0</c:v>
                </c:pt>
                <c:pt idx="8">
                  <c:v>425779.0</c:v>
                </c:pt>
                <c:pt idx="9">
                  <c:v>468356.0</c:v>
                </c:pt>
              </c:numCache>
            </c:numRef>
          </c:val>
        </c:ser>
        <c:ser>
          <c:idx val="3"/>
          <c:order val="3"/>
          <c:tx>
            <c:strRef>
              <c:f>Rekstur!$A$9</c:f>
              <c:strCache>
                <c:ptCount val="1"/>
                <c:pt idx="0">
                  <c:v>SARWeather - lag 3 (pay-per-use)</c:v>
                </c:pt>
              </c:strCache>
            </c:strRef>
          </c:tx>
          <c:invertIfNegative val="0"/>
          <c:val>
            <c:numRef>
              <c:f>Rekstur!$B$9:$K$9</c:f>
              <c:numCache>
                <c:formatCode>#,##0</c:formatCode>
                <c:ptCount val="10"/>
                <c:pt idx="1">
                  <c:v>6300.0</c:v>
                </c:pt>
                <c:pt idx="2">
                  <c:v>18900.0</c:v>
                </c:pt>
                <c:pt idx="3">
                  <c:v>24570.0</c:v>
                </c:pt>
                <c:pt idx="4">
                  <c:v>31941.0</c:v>
                </c:pt>
                <c:pt idx="5">
                  <c:v>41523.3</c:v>
                </c:pt>
                <c:pt idx="6">
                  <c:v>53980.29000000001</c:v>
                </c:pt>
                <c:pt idx="7">
                  <c:v>70174.377</c:v>
                </c:pt>
                <c:pt idx="8">
                  <c:v>91226.6901</c:v>
                </c:pt>
                <c:pt idx="9">
                  <c:v>118594.69713</c:v>
                </c:pt>
              </c:numCache>
            </c:numRef>
          </c:val>
        </c:ser>
        <c:ser>
          <c:idx val="4"/>
          <c:order val="4"/>
          <c:tx>
            <c:strRef>
              <c:f>Rekstur!$A$10</c:f>
              <c:strCache>
                <c:ptCount val="1"/>
                <c:pt idx="0">
                  <c:v>Styrkir</c:v>
                </c:pt>
              </c:strCache>
            </c:strRef>
          </c:tx>
          <c:invertIfNegative val="0"/>
          <c:val>
            <c:numRef>
              <c:f>Rekstur!$B$10:$K$10</c:f>
              <c:numCache>
                <c:formatCode>#,##0</c:formatCode>
                <c:ptCount val="10"/>
                <c:pt idx="3">
                  <c:v>11025.0</c:v>
                </c:pt>
                <c:pt idx="4">
                  <c:v>11576.0</c:v>
                </c:pt>
                <c:pt idx="5">
                  <c:v>12155.0</c:v>
                </c:pt>
                <c:pt idx="6">
                  <c:v>12763.0</c:v>
                </c:pt>
                <c:pt idx="7">
                  <c:v>13401.0</c:v>
                </c:pt>
                <c:pt idx="8">
                  <c:v>14071.0</c:v>
                </c:pt>
                <c:pt idx="9">
                  <c:v>14775.0</c:v>
                </c:pt>
              </c:numCache>
            </c:numRef>
          </c:val>
        </c:ser>
        <c:ser>
          <c:idx val="5"/>
          <c:order val="5"/>
          <c:tx>
            <c:strRef>
              <c:f>Rekstur!$A$11</c:f>
              <c:strCache>
                <c:ptCount val="1"/>
                <c:pt idx="0">
                  <c:v>Aðrar sölutekjur</c:v>
                </c:pt>
              </c:strCache>
            </c:strRef>
          </c:tx>
          <c:invertIfNegative val="0"/>
          <c:val>
            <c:numRef>
              <c:f>Rekstur!$B$11:$K$11</c:f>
              <c:numCache>
                <c:formatCode>#,##0</c:formatCode>
                <c:ptCount val="10"/>
                <c:pt idx="3">
                  <c:v>9868.0</c:v>
                </c:pt>
                <c:pt idx="4">
                  <c:v>10619.0</c:v>
                </c:pt>
                <c:pt idx="5">
                  <c:v>11114.0</c:v>
                </c:pt>
                <c:pt idx="6">
                  <c:v>11635.0</c:v>
                </c:pt>
                <c:pt idx="7">
                  <c:v>12182.0</c:v>
                </c:pt>
                <c:pt idx="8">
                  <c:v>12756.0</c:v>
                </c:pt>
                <c:pt idx="9">
                  <c:v>13359.0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5314824"/>
        <c:axId val="383841288"/>
      </c:barChart>
      <c:catAx>
        <c:axId val="615314824"/>
        <c:scaling>
          <c:orientation val="minMax"/>
        </c:scaling>
        <c:delete val="0"/>
        <c:axPos val="b"/>
        <c:majorTickMark val="out"/>
        <c:minorTickMark val="none"/>
        <c:tickLblPos val="nextTo"/>
        <c:crossAx val="383841288"/>
        <c:crosses val="autoZero"/>
        <c:auto val="1"/>
        <c:lblAlgn val="ctr"/>
        <c:lblOffset val="100"/>
        <c:noMultiLvlLbl val="0"/>
      </c:catAx>
      <c:valAx>
        <c:axId val="3838412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153148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0148618413353791"/>
                <c:y val="0.315532948108467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is-IS"/>
                    <a:t>Milljónir ISK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599175373022411"/>
          <c:y val="0.0807064215129567"/>
          <c:w val="0.388982522327884"/>
          <c:h val="0.838586792154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Rekstur!$A$12</c:f>
              <c:strCache>
                <c:ptCount val="1"/>
                <c:pt idx="0">
                  <c:v>Samtals tekjur</c:v>
                </c:pt>
              </c:strCache>
            </c:strRef>
          </c:tx>
          <c:marker>
            <c:symbol val="none"/>
          </c:marker>
          <c:val>
            <c:numRef>
              <c:f>Rekstur!$B$12:$K$12</c:f>
              <c:numCache>
                <c:formatCode>#,##0</c:formatCode>
                <c:ptCount val="10"/>
                <c:pt idx="0">
                  <c:v>28500.0</c:v>
                </c:pt>
                <c:pt idx="1">
                  <c:v>102600.0</c:v>
                </c:pt>
                <c:pt idx="2">
                  <c:v>206999.0</c:v>
                </c:pt>
                <c:pt idx="3">
                  <c:v>461038.0</c:v>
                </c:pt>
                <c:pt idx="4">
                  <c:v>510549.0</c:v>
                </c:pt>
                <c:pt idx="5">
                  <c:v>564686.3</c:v>
                </c:pt>
                <c:pt idx="6">
                  <c:v>624661.29</c:v>
                </c:pt>
                <c:pt idx="7">
                  <c:v>691628.377</c:v>
                </c:pt>
                <c:pt idx="8">
                  <c:v>767032.6901</c:v>
                </c:pt>
                <c:pt idx="9">
                  <c:v>852684.69713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Rekstur!$A$36</c:f>
              <c:strCache>
                <c:ptCount val="1"/>
                <c:pt idx="0">
                  <c:v>Samtals gjöld</c:v>
                </c:pt>
              </c:strCache>
            </c:strRef>
          </c:tx>
          <c:marker>
            <c:symbol val="none"/>
          </c:marker>
          <c:val>
            <c:numRef>
              <c:f>Rekstur!$B$36:$K$36</c:f>
              <c:numCache>
                <c:formatCode>#,##0</c:formatCode>
                <c:ptCount val="10"/>
                <c:pt idx="0">
                  <c:v>45665.0</c:v>
                </c:pt>
                <c:pt idx="1">
                  <c:v>75204.0</c:v>
                </c:pt>
                <c:pt idx="2">
                  <c:v>105481.0</c:v>
                </c:pt>
                <c:pt idx="3">
                  <c:v>242683.7206096</c:v>
                </c:pt>
                <c:pt idx="4">
                  <c:v>293552.077535216</c:v>
                </c:pt>
                <c:pt idx="5">
                  <c:v>328630.1070645439</c:v>
                </c:pt>
                <c:pt idx="6">
                  <c:v>353766.0263180415</c:v>
                </c:pt>
                <c:pt idx="7">
                  <c:v>379030.6081682303</c:v>
                </c:pt>
                <c:pt idx="8">
                  <c:v>408680.1822229857</c:v>
                </c:pt>
                <c:pt idx="9">
                  <c:v>439016.0289852595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Rekstur!$A$38</c:f>
              <c:strCache>
                <c:ptCount val="1"/>
                <c:pt idx="0">
                  <c:v>Hagnaður/tap fyrir skatta</c:v>
                </c:pt>
              </c:strCache>
            </c:strRef>
          </c:tx>
          <c:marker>
            <c:symbol val="none"/>
          </c:marker>
          <c:val>
            <c:numRef>
              <c:f>Rekstur!$B$38:$K$38</c:f>
              <c:numCache>
                <c:formatCode>#,##0</c:formatCode>
                <c:ptCount val="10"/>
                <c:pt idx="0">
                  <c:v>-17165.0</c:v>
                </c:pt>
                <c:pt idx="1">
                  <c:v>27396.0</c:v>
                </c:pt>
                <c:pt idx="2">
                  <c:v>101518.0</c:v>
                </c:pt>
                <c:pt idx="3">
                  <c:v>218354.2793904</c:v>
                </c:pt>
                <c:pt idx="4">
                  <c:v>216996.922464784</c:v>
                </c:pt>
                <c:pt idx="5">
                  <c:v>236056.1929354561</c:v>
                </c:pt>
                <c:pt idx="6">
                  <c:v>270895.2636819585</c:v>
                </c:pt>
                <c:pt idx="7">
                  <c:v>312597.7688317697</c:v>
                </c:pt>
                <c:pt idx="8">
                  <c:v>358352.5078770143</c:v>
                </c:pt>
                <c:pt idx="9">
                  <c:v>413668.6681447405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055608"/>
        <c:axId val="614976328"/>
      </c:lineChart>
      <c:catAx>
        <c:axId val="615055608"/>
        <c:scaling>
          <c:orientation val="minMax"/>
        </c:scaling>
        <c:delete val="0"/>
        <c:axPos val="b"/>
        <c:majorTickMark val="out"/>
        <c:minorTickMark val="none"/>
        <c:tickLblPos val="nextTo"/>
        <c:crossAx val="614976328"/>
        <c:crosses val="autoZero"/>
        <c:auto val="1"/>
        <c:lblAlgn val="ctr"/>
        <c:lblOffset val="100"/>
        <c:noMultiLvlLbl val="0"/>
      </c:catAx>
      <c:valAx>
        <c:axId val="6149763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150556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0160975615939144"/>
                <c:y val="0.34421946241731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Miljónir ISK</a:t>
                  </a:r>
                </a:p>
              </c:rich>
            </c:tx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1</xdr:row>
      <xdr:rowOff>190500</xdr:rowOff>
    </xdr:from>
    <xdr:to>
      <xdr:col>14</xdr:col>
      <xdr:colOff>666750</xdr:colOff>
      <xdr:row>3</xdr:row>
      <xdr:rowOff>19050</xdr:rowOff>
    </xdr:to>
    <xdr:sp macro="" textlink="">
      <xdr:nvSpPr>
        <xdr:cNvPr id="2" name="Right Arrow 1"/>
        <xdr:cNvSpPr/>
      </xdr:nvSpPr>
      <xdr:spPr>
        <a:xfrm>
          <a:off x="8617745" y="381000"/>
          <a:ext cx="609599" cy="23336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28</xdr:col>
      <xdr:colOff>95250</xdr:colOff>
      <xdr:row>1</xdr:row>
      <xdr:rowOff>180975</xdr:rowOff>
    </xdr:from>
    <xdr:to>
      <xdr:col>29</xdr:col>
      <xdr:colOff>0</xdr:colOff>
      <xdr:row>3</xdr:row>
      <xdr:rowOff>28575</xdr:rowOff>
    </xdr:to>
    <xdr:sp macro="" textlink="">
      <xdr:nvSpPr>
        <xdr:cNvPr id="3" name="Right Arrow 2"/>
        <xdr:cNvSpPr/>
      </xdr:nvSpPr>
      <xdr:spPr>
        <a:xfrm>
          <a:off x="13992225" y="371475"/>
          <a:ext cx="1228725" cy="247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455082</xdr:colOff>
      <xdr:row>1</xdr:row>
      <xdr:rowOff>10583</xdr:rowOff>
    </xdr:from>
    <xdr:to>
      <xdr:col>24</xdr:col>
      <xdr:colOff>31749</xdr:colOff>
      <xdr:row>15</xdr:row>
      <xdr:rowOff>84666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455083</xdr:colOff>
      <xdr:row>16</xdr:row>
      <xdr:rowOff>42333</xdr:rowOff>
    </xdr:from>
    <xdr:to>
      <xdr:col>24</xdr:col>
      <xdr:colOff>63498</xdr:colOff>
      <xdr:row>36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hagstofan.is/?PageID=634&amp;src=/temp/Dialog/varval.asp?ma=VIN02014%26ti=Laun+fullvinnandi+launamanna+%E1+almennum+vinnumarka%F0i+eftir+starfi+og+kyni+1998%2D2009++++++++++++++++++++++%26path=../Database/vinnumarkadur/fulllaun/%26lang=3%26units=%DE%F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>
      <selection activeCell="G23" sqref="G23"/>
    </sheetView>
  </sheetViews>
  <sheetFormatPr baseColWidth="10" defaultColWidth="8.83203125" defaultRowHeight="14" x14ac:dyDescent="0"/>
  <cols>
    <col min="8" max="8" width="18.33203125" customWidth="1"/>
  </cols>
  <sheetData>
    <row r="1" spans="1:8" ht="18">
      <c r="A1" s="218" t="s">
        <v>86</v>
      </c>
      <c r="B1" s="218"/>
      <c r="C1" s="218"/>
      <c r="D1" s="218"/>
      <c r="E1" s="218"/>
      <c r="F1" s="218"/>
      <c r="G1" s="218"/>
      <c r="H1" s="218"/>
    </row>
    <row r="2" spans="1:8">
      <c r="A2" s="219" t="s">
        <v>130</v>
      </c>
      <c r="B2" s="219"/>
      <c r="C2" s="219"/>
      <c r="D2" s="219"/>
      <c r="E2" s="219"/>
      <c r="F2" s="219"/>
      <c r="G2" s="219"/>
      <c r="H2" s="219"/>
    </row>
    <row r="3" spans="1:8" ht="15" thickBot="1"/>
    <row r="4" spans="1:8" ht="15" thickBot="1">
      <c r="A4" s="220" t="s">
        <v>87</v>
      </c>
      <c r="B4" s="221"/>
      <c r="C4" s="222" t="s">
        <v>135</v>
      </c>
      <c r="D4" s="223"/>
      <c r="E4" s="223"/>
      <c r="F4" s="223"/>
      <c r="G4" s="223"/>
      <c r="H4" s="224"/>
    </row>
    <row r="5" spans="1:8" ht="15" thickBot="1">
      <c r="A5" s="220" t="s">
        <v>88</v>
      </c>
      <c r="B5" s="221"/>
      <c r="C5" s="222" t="s">
        <v>136</v>
      </c>
      <c r="D5" s="223"/>
      <c r="E5" s="223"/>
      <c r="F5" s="223"/>
      <c r="G5" s="223"/>
      <c r="H5" s="224"/>
    </row>
    <row r="6" spans="1:8" ht="15" thickBot="1">
      <c r="A6" s="220" t="s">
        <v>89</v>
      </c>
      <c r="B6" s="221"/>
      <c r="C6" s="222" t="s">
        <v>137</v>
      </c>
      <c r="D6" s="223"/>
      <c r="E6" s="223"/>
      <c r="F6" s="223"/>
      <c r="G6" s="223"/>
      <c r="H6" s="224"/>
    </row>
    <row r="10" spans="1:8">
      <c r="A10" s="215" t="s">
        <v>110</v>
      </c>
      <c r="B10" s="215"/>
      <c r="C10" s="215"/>
      <c r="D10" s="215"/>
      <c r="E10" s="215"/>
      <c r="F10" s="215"/>
      <c r="G10" s="215"/>
      <c r="H10" s="215"/>
    </row>
    <row r="11" spans="1:8" ht="15">
      <c r="A11" s="225" t="s">
        <v>109</v>
      </c>
      <c r="B11" s="225"/>
      <c r="C11" s="225"/>
      <c r="D11" s="225"/>
      <c r="E11" s="225"/>
      <c r="F11" s="225"/>
      <c r="G11" s="225"/>
      <c r="H11" s="225"/>
    </row>
    <row r="15" spans="1:8">
      <c r="A15" s="215" t="s">
        <v>110</v>
      </c>
      <c r="B15" s="215"/>
      <c r="C15" s="215"/>
      <c r="D15" s="215"/>
      <c r="E15" s="215"/>
      <c r="F15" s="215"/>
      <c r="G15" s="215"/>
      <c r="H15" s="215"/>
    </row>
    <row r="16" spans="1:8" ht="15.75" customHeight="1">
      <c r="A16" s="216" t="s">
        <v>112</v>
      </c>
      <c r="B16" s="216"/>
      <c r="C16" s="216"/>
      <c r="D16" s="216"/>
      <c r="E16" s="216"/>
      <c r="F16" s="216"/>
      <c r="G16" s="216"/>
      <c r="H16" s="216"/>
    </row>
    <row r="18" spans="1:8">
      <c r="A18" s="217" t="s">
        <v>111</v>
      </c>
      <c r="B18" s="217"/>
      <c r="C18" s="217"/>
      <c r="D18" s="217"/>
      <c r="E18" s="217"/>
      <c r="F18" s="217"/>
      <c r="G18" s="217"/>
      <c r="H18" s="217"/>
    </row>
  </sheetData>
  <mergeCells count="13">
    <mergeCell ref="A15:H15"/>
    <mergeCell ref="A16:H16"/>
    <mergeCell ref="A18:H18"/>
    <mergeCell ref="A1:H1"/>
    <mergeCell ref="A2:H2"/>
    <mergeCell ref="A4:B4"/>
    <mergeCell ref="C4:H4"/>
    <mergeCell ref="A5:B5"/>
    <mergeCell ref="A10:H10"/>
    <mergeCell ref="A11:H11"/>
    <mergeCell ref="A6:B6"/>
    <mergeCell ref="C5:H5"/>
    <mergeCell ref="C6:H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1"/>
  <sheetViews>
    <sheetView showGridLines="0" zoomScale="80" zoomScaleNormal="80" zoomScalePageLayoutView="80" workbookViewId="0">
      <pane xSplit="1" ySplit="5" topLeftCell="B22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ColWidth="8.83203125" defaultRowHeight="14" x14ac:dyDescent="0"/>
  <cols>
    <col min="1" max="1" width="23.5" style="104" customWidth="1"/>
    <col min="2" max="14" width="8.6640625" style="104" customWidth="1"/>
    <col min="15" max="15" width="5" style="101" customWidth="1"/>
    <col min="16" max="28" width="8.6640625" style="104" customWidth="1"/>
    <col min="29" max="29" width="5.5" style="146" customWidth="1"/>
    <col min="30" max="42" width="8.6640625" style="104" customWidth="1"/>
    <col min="43" max="43" width="2.33203125" style="104" customWidth="1"/>
    <col min="44" max="44" width="12.5" style="104" customWidth="1"/>
    <col min="45" max="16384" width="8.83203125" style="104"/>
  </cols>
  <sheetData>
    <row r="1" spans="1:51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3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</row>
    <row r="2" spans="1:51" ht="15" thickBot="1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5" t="s">
        <v>93</v>
      </c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5" t="s">
        <v>94</v>
      </c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</row>
    <row r="3" spans="1:51" ht="15" thickBot="1">
      <c r="A3" s="250" t="s">
        <v>65</v>
      </c>
      <c r="B3" s="252" t="s">
        <v>131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106"/>
      <c r="O3" s="107"/>
      <c r="P3" s="255" t="s">
        <v>132</v>
      </c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7"/>
      <c r="AB3" s="108"/>
      <c r="AC3" s="107"/>
      <c r="AD3" s="252" t="s">
        <v>133</v>
      </c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4"/>
      <c r="AP3" s="109"/>
      <c r="AQ3" s="102"/>
      <c r="AR3" s="243" t="s">
        <v>42</v>
      </c>
    </row>
    <row r="4" spans="1:51">
      <c r="A4" s="250"/>
      <c r="B4" s="247" t="s">
        <v>95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9"/>
      <c r="N4" s="110"/>
      <c r="O4" s="107"/>
      <c r="P4" s="260" t="s">
        <v>95</v>
      </c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2"/>
      <c r="AB4" s="111"/>
      <c r="AC4" s="107"/>
      <c r="AD4" s="247" t="s">
        <v>95</v>
      </c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9"/>
      <c r="AP4" s="110"/>
      <c r="AQ4" s="102"/>
      <c r="AR4" s="244"/>
    </row>
    <row r="5" spans="1:51" ht="15" thickBot="1">
      <c r="A5" s="251"/>
      <c r="B5" s="112">
        <v>1</v>
      </c>
      <c r="C5" s="113">
        <f>B5+1</f>
        <v>2</v>
      </c>
      <c r="D5" s="113">
        <f t="shared" ref="D5:L5" si="0">C5+1</f>
        <v>3</v>
      </c>
      <c r="E5" s="113">
        <f t="shared" si="0"/>
        <v>4</v>
      </c>
      <c r="F5" s="113">
        <f t="shared" si="0"/>
        <v>5</v>
      </c>
      <c r="G5" s="113">
        <f t="shared" si="0"/>
        <v>6</v>
      </c>
      <c r="H5" s="113">
        <f t="shared" si="0"/>
        <v>7</v>
      </c>
      <c r="I5" s="113">
        <f t="shared" si="0"/>
        <v>8</v>
      </c>
      <c r="J5" s="113">
        <f t="shared" si="0"/>
        <v>9</v>
      </c>
      <c r="K5" s="113">
        <f t="shared" si="0"/>
        <v>10</v>
      </c>
      <c r="L5" s="113">
        <f t="shared" si="0"/>
        <v>11</v>
      </c>
      <c r="M5" s="114">
        <f>L5+1</f>
        <v>12</v>
      </c>
      <c r="N5" s="110" t="s">
        <v>41</v>
      </c>
      <c r="O5" s="107"/>
      <c r="P5" s="115">
        <v>1</v>
      </c>
      <c r="Q5" s="116">
        <f>P5+1</f>
        <v>2</v>
      </c>
      <c r="R5" s="116">
        <f t="shared" ref="R5:Z5" si="1">Q5+1</f>
        <v>3</v>
      </c>
      <c r="S5" s="116">
        <f t="shared" si="1"/>
        <v>4</v>
      </c>
      <c r="T5" s="116">
        <f t="shared" si="1"/>
        <v>5</v>
      </c>
      <c r="U5" s="116">
        <f t="shared" si="1"/>
        <v>6</v>
      </c>
      <c r="V5" s="116">
        <f t="shared" si="1"/>
        <v>7</v>
      </c>
      <c r="W5" s="116">
        <f t="shared" si="1"/>
        <v>8</v>
      </c>
      <c r="X5" s="116">
        <f t="shared" si="1"/>
        <v>9</v>
      </c>
      <c r="Y5" s="116">
        <f t="shared" si="1"/>
        <v>10</v>
      </c>
      <c r="Z5" s="116">
        <f t="shared" si="1"/>
        <v>11</v>
      </c>
      <c r="AA5" s="111">
        <f>Z5+1</f>
        <v>12</v>
      </c>
      <c r="AB5" s="117" t="s">
        <v>41</v>
      </c>
      <c r="AC5" s="107"/>
      <c r="AD5" s="118">
        <v>1</v>
      </c>
      <c r="AE5" s="119">
        <f>AD5+1</f>
        <v>2</v>
      </c>
      <c r="AF5" s="119">
        <f t="shared" ref="AF5:AN5" si="2">AE5+1</f>
        <v>3</v>
      </c>
      <c r="AG5" s="119">
        <f t="shared" si="2"/>
        <v>4</v>
      </c>
      <c r="AH5" s="119">
        <f t="shared" si="2"/>
        <v>5</v>
      </c>
      <c r="AI5" s="119">
        <f t="shared" si="2"/>
        <v>6</v>
      </c>
      <c r="AJ5" s="119">
        <f t="shared" si="2"/>
        <v>7</v>
      </c>
      <c r="AK5" s="119">
        <f t="shared" si="2"/>
        <v>8</v>
      </c>
      <c r="AL5" s="119">
        <f t="shared" si="2"/>
        <v>9</v>
      </c>
      <c r="AM5" s="119">
        <f t="shared" si="2"/>
        <v>10</v>
      </c>
      <c r="AN5" s="119">
        <f t="shared" si="2"/>
        <v>11</v>
      </c>
      <c r="AO5" s="110">
        <f>AN5+1</f>
        <v>12</v>
      </c>
      <c r="AP5" s="114" t="s">
        <v>41</v>
      </c>
      <c r="AQ5" s="102"/>
      <c r="AR5" s="245"/>
    </row>
    <row r="6" spans="1:51" ht="16">
      <c r="A6" s="120" t="s">
        <v>113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2"/>
      <c r="O6" s="103"/>
      <c r="P6" s="164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4"/>
      <c r="AC6" s="103"/>
      <c r="AD6" s="165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5"/>
      <c r="AQ6" s="102"/>
      <c r="AR6" s="126"/>
    </row>
    <row r="7" spans="1:51">
      <c r="A7" s="127" t="s">
        <v>164</v>
      </c>
      <c r="B7" s="129">
        <v>188</v>
      </c>
      <c r="C7" s="129">
        <v>188</v>
      </c>
      <c r="D7" s="129">
        <v>188</v>
      </c>
      <c r="E7" s="129">
        <v>188</v>
      </c>
      <c r="F7" s="129">
        <v>188</v>
      </c>
      <c r="G7" s="129">
        <v>188</v>
      </c>
      <c r="H7" s="129">
        <v>187</v>
      </c>
      <c r="I7" s="129">
        <v>187</v>
      </c>
      <c r="J7" s="129">
        <v>187</v>
      </c>
      <c r="K7" s="129">
        <v>187</v>
      </c>
      <c r="L7" s="129">
        <v>187</v>
      </c>
      <c r="M7" s="129">
        <v>187</v>
      </c>
      <c r="N7" s="125">
        <f t="shared" ref="N7:N14" si="3">SUM(B7:M7)</f>
        <v>2250</v>
      </c>
      <c r="O7" s="103"/>
      <c r="P7" s="129">
        <v>188</v>
      </c>
      <c r="Q7" s="129">
        <v>188</v>
      </c>
      <c r="R7" s="129">
        <v>188</v>
      </c>
      <c r="S7" s="129">
        <v>188</v>
      </c>
      <c r="T7" s="129">
        <v>188</v>
      </c>
      <c r="U7" s="129">
        <v>188</v>
      </c>
      <c r="V7" s="129">
        <v>187</v>
      </c>
      <c r="W7" s="129">
        <v>187</v>
      </c>
      <c r="X7" s="129">
        <v>187</v>
      </c>
      <c r="Y7" s="129">
        <v>187</v>
      </c>
      <c r="Z7" s="129">
        <v>187</v>
      </c>
      <c r="AA7" s="129">
        <v>187</v>
      </c>
      <c r="AB7" s="188">
        <f t="shared" ref="AB7:AB14" si="4">SUM(P7:AA7)</f>
        <v>2250</v>
      </c>
      <c r="AC7" s="103"/>
      <c r="AD7" s="129">
        <v>188</v>
      </c>
      <c r="AE7" s="129">
        <v>188</v>
      </c>
      <c r="AF7" s="129">
        <v>188</v>
      </c>
      <c r="AG7" s="129">
        <v>188</v>
      </c>
      <c r="AH7" s="129">
        <v>188</v>
      </c>
      <c r="AI7" s="129">
        <v>188</v>
      </c>
      <c r="AJ7" s="129">
        <v>187</v>
      </c>
      <c r="AK7" s="129">
        <v>187</v>
      </c>
      <c r="AL7" s="129">
        <v>187</v>
      </c>
      <c r="AM7" s="129">
        <v>187</v>
      </c>
      <c r="AN7" s="129">
        <v>187</v>
      </c>
      <c r="AO7" s="129">
        <v>187</v>
      </c>
      <c r="AP7" s="125">
        <f t="shared" ref="AP7:AP14" si="5">SUM(AD7:AO7)</f>
        <v>2250</v>
      </c>
      <c r="AQ7" s="102"/>
      <c r="AR7" s="126">
        <f t="shared" ref="AR7:AR18" si="6">AP7+AB7+N7</f>
        <v>6750</v>
      </c>
    </row>
    <row r="8" spans="1:51">
      <c r="A8" s="127" t="s">
        <v>165</v>
      </c>
      <c r="B8" s="129">
        <v>375</v>
      </c>
      <c r="C8" s="129">
        <v>375</v>
      </c>
      <c r="D8" s="129">
        <v>375</v>
      </c>
      <c r="E8" s="129">
        <v>375</v>
      </c>
      <c r="F8" s="129">
        <v>375</v>
      </c>
      <c r="G8" s="129">
        <v>375</v>
      </c>
      <c r="H8" s="129">
        <v>250</v>
      </c>
      <c r="I8" s="129">
        <v>250</v>
      </c>
      <c r="J8" s="129">
        <v>250</v>
      </c>
      <c r="K8" s="129">
        <v>250</v>
      </c>
      <c r="L8" s="129">
        <v>250</v>
      </c>
      <c r="M8" s="129">
        <v>250</v>
      </c>
      <c r="N8" s="125">
        <f t="shared" si="3"/>
        <v>3750</v>
      </c>
      <c r="O8" s="103"/>
      <c r="P8" s="129">
        <v>375</v>
      </c>
      <c r="Q8" s="129">
        <v>375</v>
      </c>
      <c r="R8" s="129">
        <v>375</v>
      </c>
      <c r="S8" s="129">
        <v>375</v>
      </c>
      <c r="T8" s="129">
        <v>375</v>
      </c>
      <c r="U8" s="129">
        <v>375</v>
      </c>
      <c r="V8" s="129">
        <v>250</v>
      </c>
      <c r="W8" s="129">
        <v>250</v>
      </c>
      <c r="X8" s="129">
        <v>250</v>
      </c>
      <c r="Y8" s="129">
        <v>250</v>
      </c>
      <c r="Z8" s="129">
        <v>250</v>
      </c>
      <c r="AA8" s="129">
        <v>250</v>
      </c>
      <c r="AB8" s="188">
        <f t="shared" si="4"/>
        <v>3750</v>
      </c>
      <c r="AC8" s="103"/>
      <c r="AD8" s="129">
        <v>375</v>
      </c>
      <c r="AE8" s="129">
        <v>375</v>
      </c>
      <c r="AF8" s="129">
        <v>375</v>
      </c>
      <c r="AG8" s="129">
        <v>375</v>
      </c>
      <c r="AH8" s="129">
        <v>375</v>
      </c>
      <c r="AI8" s="129">
        <v>375</v>
      </c>
      <c r="AJ8" s="129">
        <v>250</v>
      </c>
      <c r="AK8" s="129">
        <v>250</v>
      </c>
      <c r="AL8" s="129">
        <v>250</v>
      </c>
      <c r="AM8" s="129">
        <v>250</v>
      </c>
      <c r="AN8" s="129">
        <v>250</v>
      </c>
      <c r="AO8" s="129">
        <v>250</v>
      </c>
      <c r="AP8" s="125">
        <f t="shared" si="5"/>
        <v>3750</v>
      </c>
      <c r="AQ8" s="102"/>
      <c r="AR8" s="126">
        <f t="shared" si="6"/>
        <v>11250</v>
      </c>
    </row>
    <row r="9" spans="1:51">
      <c r="A9" s="127" t="s">
        <v>166</v>
      </c>
      <c r="B9" s="129">
        <v>600</v>
      </c>
      <c r="C9" s="129">
        <v>750</v>
      </c>
      <c r="D9" s="129">
        <v>525</v>
      </c>
      <c r="E9" s="129">
        <v>500</v>
      </c>
      <c r="F9" s="129">
        <v>500</v>
      </c>
      <c r="G9" s="129">
        <v>375</v>
      </c>
      <c r="H9" s="129">
        <v>125</v>
      </c>
      <c r="I9" s="129">
        <v>125</v>
      </c>
      <c r="J9" s="129">
        <v>375</v>
      </c>
      <c r="K9" s="129">
        <v>375</v>
      </c>
      <c r="L9" s="129">
        <v>125</v>
      </c>
      <c r="M9" s="129">
        <v>125</v>
      </c>
      <c r="N9" s="125">
        <f t="shared" si="3"/>
        <v>4500</v>
      </c>
      <c r="O9" s="103"/>
      <c r="P9" s="129">
        <v>600</v>
      </c>
      <c r="Q9" s="129">
        <v>750</v>
      </c>
      <c r="R9" s="129">
        <v>525</v>
      </c>
      <c r="S9" s="129">
        <v>500</v>
      </c>
      <c r="T9" s="129">
        <v>500</v>
      </c>
      <c r="U9" s="129">
        <v>375</v>
      </c>
      <c r="V9" s="129">
        <v>125</v>
      </c>
      <c r="W9" s="129">
        <v>125</v>
      </c>
      <c r="X9" s="129">
        <v>375</v>
      </c>
      <c r="Y9" s="129">
        <v>375</v>
      </c>
      <c r="Z9" s="129">
        <v>125</v>
      </c>
      <c r="AA9" s="129">
        <v>125</v>
      </c>
      <c r="AB9" s="188">
        <f t="shared" si="4"/>
        <v>4500</v>
      </c>
      <c r="AC9" s="103"/>
      <c r="AD9" s="129">
        <v>600</v>
      </c>
      <c r="AE9" s="129">
        <v>750</v>
      </c>
      <c r="AF9" s="129">
        <v>525</v>
      </c>
      <c r="AG9" s="129">
        <v>500</v>
      </c>
      <c r="AH9" s="129">
        <v>500</v>
      </c>
      <c r="AI9" s="129">
        <v>375</v>
      </c>
      <c r="AJ9" s="129">
        <v>125</v>
      </c>
      <c r="AK9" s="129">
        <v>125</v>
      </c>
      <c r="AL9" s="129">
        <v>375</v>
      </c>
      <c r="AM9" s="129">
        <v>375</v>
      </c>
      <c r="AN9" s="129">
        <v>125</v>
      </c>
      <c r="AO9" s="129">
        <v>125</v>
      </c>
      <c r="AP9" s="125">
        <f t="shared" si="5"/>
        <v>4500</v>
      </c>
      <c r="AQ9" s="102"/>
      <c r="AR9" s="126">
        <f t="shared" si="6"/>
        <v>13500</v>
      </c>
    </row>
    <row r="10" spans="1:51">
      <c r="A10" s="127" t="s">
        <v>167</v>
      </c>
      <c r="B10" s="129">
        <v>0</v>
      </c>
      <c r="C10" s="129">
        <v>750</v>
      </c>
      <c r="D10" s="129">
        <v>750</v>
      </c>
      <c r="E10" s="129">
        <v>750</v>
      </c>
      <c r="F10" s="129">
        <v>750</v>
      </c>
      <c r="G10" s="129">
        <v>750</v>
      </c>
      <c r="H10" s="129">
        <v>750</v>
      </c>
      <c r="I10" s="129">
        <v>750</v>
      </c>
      <c r="J10" s="129">
        <v>750</v>
      </c>
      <c r="K10" s="129">
        <v>750</v>
      </c>
      <c r="L10" s="129">
        <v>750</v>
      </c>
      <c r="M10" s="129">
        <v>750</v>
      </c>
      <c r="N10" s="189">
        <f t="shared" si="3"/>
        <v>8250</v>
      </c>
      <c r="O10" s="205"/>
      <c r="P10" s="129">
        <v>750</v>
      </c>
      <c r="Q10" s="129">
        <v>750</v>
      </c>
      <c r="R10" s="129">
        <v>750</v>
      </c>
      <c r="S10" s="129">
        <v>750</v>
      </c>
      <c r="T10" s="129">
        <v>750</v>
      </c>
      <c r="U10" s="129">
        <v>750</v>
      </c>
      <c r="V10" s="129">
        <v>750</v>
      </c>
      <c r="W10" s="129">
        <v>750</v>
      </c>
      <c r="X10" s="129">
        <v>750</v>
      </c>
      <c r="Y10" s="129">
        <v>750</v>
      </c>
      <c r="Z10" s="129">
        <v>750</v>
      </c>
      <c r="AA10" s="129">
        <v>750</v>
      </c>
      <c r="AB10" s="188">
        <f t="shared" si="4"/>
        <v>9000</v>
      </c>
      <c r="AC10" s="103"/>
      <c r="AD10" s="129">
        <v>750</v>
      </c>
      <c r="AE10" s="129">
        <v>750</v>
      </c>
      <c r="AF10" s="129">
        <v>750</v>
      </c>
      <c r="AG10" s="129">
        <v>750</v>
      </c>
      <c r="AH10" s="129">
        <v>750</v>
      </c>
      <c r="AI10" s="129">
        <v>750</v>
      </c>
      <c r="AJ10" s="129">
        <v>750</v>
      </c>
      <c r="AK10" s="129">
        <v>750</v>
      </c>
      <c r="AL10" s="129">
        <v>750</v>
      </c>
      <c r="AM10" s="129">
        <v>750</v>
      </c>
      <c r="AN10" s="129">
        <v>750</v>
      </c>
      <c r="AO10" s="129">
        <v>750</v>
      </c>
      <c r="AP10" s="125">
        <f t="shared" si="5"/>
        <v>9000</v>
      </c>
      <c r="AQ10" s="102"/>
      <c r="AR10" s="126">
        <f t="shared" si="6"/>
        <v>26250</v>
      </c>
    </row>
    <row r="11" spans="1:51">
      <c r="A11" s="127" t="s">
        <v>173</v>
      </c>
      <c r="B11" s="184">
        <v>0</v>
      </c>
      <c r="C11" s="185">
        <v>0</v>
      </c>
      <c r="D11" s="185">
        <v>0</v>
      </c>
      <c r="E11" s="185">
        <v>0</v>
      </c>
      <c r="F11" s="185">
        <v>0</v>
      </c>
      <c r="G11" s="185">
        <v>0</v>
      </c>
      <c r="H11" s="185">
        <v>0</v>
      </c>
      <c r="I11" s="185">
        <v>0</v>
      </c>
      <c r="J11" s="185">
        <v>0</v>
      </c>
      <c r="K11" s="185">
        <v>750</v>
      </c>
      <c r="L11" s="185">
        <v>750</v>
      </c>
      <c r="M11" s="185">
        <v>750</v>
      </c>
      <c r="N11" s="189">
        <f t="shared" si="3"/>
        <v>2250</v>
      </c>
      <c r="O11" s="205"/>
      <c r="P11" s="185">
        <v>750</v>
      </c>
      <c r="Q11" s="184">
        <v>750</v>
      </c>
      <c r="R11" s="184">
        <v>750</v>
      </c>
      <c r="S11" s="184">
        <v>750</v>
      </c>
      <c r="T11" s="184">
        <v>750</v>
      </c>
      <c r="U11" s="184">
        <v>750</v>
      </c>
      <c r="V11" s="184">
        <v>750</v>
      </c>
      <c r="W11" s="184">
        <v>750</v>
      </c>
      <c r="X11" s="184">
        <v>750</v>
      </c>
      <c r="Y11" s="185">
        <v>750</v>
      </c>
      <c r="Z11" s="185">
        <v>750</v>
      </c>
      <c r="AA11" s="185">
        <v>750</v>
      </c>
      <c r="AB11" s="188">
        <f t="shared" si="4"/>
        <v>9000</v>
      </c>
      <c r="AC11" s="103"/>
      <c r="AD11" s="185">
        <v>750</v>
      </c>
      <c r="AE11" s="184">
        <v>750</v>
      </c>
      <c r="AF11" s="184">
        <v>750</v>
      </c>
      <c r="AG11" s="184">
        <v>750</v>
      </c>
      <c r="AH11" s="184">
        <v>750</v>
      </c>
      <c r="AI11" s="184">
        <v>750</v>
      </c>
      <c r="AJ11" s="184">
        <v>750</v>
      </c>
      <c r="AK11" s="184">
        <v>750</v>
      </c>
      <c r="AL11" s="184">
        <v>750</v>
      </c>
      <c r="AM11" s="185">
        <v>750</v>
      </c>
      <c r="AN11" s="185">
        <v>750</v>
      </c>
      <c r="AO11" s="185">
        <v>750</v>
      </c>
      <c r="AP11" s="125">
        <f t="shared" si="5"/>
        <v>9000</v>
      </c>
      <c r="AQ11" s="102"/>
      <c r="AR11" s="126">
        <f t="shared" si="6"/>
        <v>20250</v>
      </c>
    </row>
    <row r="12" spans="1:51">
      <c r="A12" s="127" t="s">
        <v>169</v>
      </c>
      <c r="B12" s="129">
        <v>75</v>
      </c>
      <c r="C12" s="129">
        <v>75</v>
      </c>
      <c r="D12" s="129">
        <v>500</v>
      </c>
      <c r="E12" s="129">
        <v>400</v>
      </c>
      <c r="F12" s="129">
        <v>250</v>
      </c>
      <c r="G12" s="129">
        <v>50</v>
      </c>
      <c r="H12" s="129">
        <v>0</v>
      </c>
      <c r="I12" s="129">
        <v>0</v>
      </c>
      <c r="J12" s="129">
        <v>50</v>
      </c>
      <c r="K12" s="129">
        <v>50</v>
      </c>
      <c r="L12" s="129">
        <v>50</v>
      </c>
      <c r="M12" s="129">
        <v>0</v>
      </c>
      <c r="N12" s="189">
        <f t="shared" si="3"/>
        <v>1500</v>
      </c>
      <c r="O12" s="103"/>
      <c r="P12" s="129">
        <v>75</v>
      </c>
      <c r="Q12" s="129">
        <v>75</v>
      </c>
      <c r="R12" s="129">
        <v>500</v>
      </c>
      <c r="S12" s="129">
        <v>400</v>
      </c>
      <c r="T12" s="129">
        <v>250</v>
      </c>
      <c r="U12" s="129">
        <v>50</v>
      </c>
      <c r="V12" s="129">
        <v>0</v>
      </c>
      <c r="W12" s="129">
        <v>0</v>
      </c>
      <c r="X12" s="129">
        <v>50</v>
      </c>
      <c r="Y12" s="129">
        <v>50</v>
      </c>
      <c r="Z12" s="129">
        <v>50</v>
      </c>
      <c r="AA12" s="129">
        <v>0</v>
      </c>
      <c r="AB12" s="188">
        <f t="shared" si="4"/>
        <v>1500</v>
      </c>
      <c r="AC12" s="103"/>
      <c r="AD12" s="129">
        <v>75</v>
      </c>
      <c r="AE12" s="129">
        <v>75</v>
      </c>
      <c r="AF12" s="129">
        <v>500</v>
      </c>
      <c r="AG12" s="129">
        <v>400</v>
      </c>
      <c r="AH12" s="129">
        <v>250</v>
      </c>
      <c r="AI12" s="129">
        <v>50</v>
      </c>
      <c r="AJ12" s="129">
        <v>0</v>
      </c>
      <c r="AK12" s="129">
        <v>0</v>
      </c>
      <c r="AL12" s="129">
        <v>50</v>
      </c>
      <c r="AM12" s="129">
        <v>50</v>
      </c>
      <c r="AN12" s="129">
        <v>50</v>
      </c>
      <c r="AO12" s="129">
        <v>0</v>
      </c>
      <c r="AP12" s="125">
        <f t="shared" si="5"/>
        <v>1500</v>
      </c>
      <c r="AQ12" s="102"/>
      <c r="AR12" s="126">
        <f t="shared" si="6"/>
        <v>4500</v>
      </c>
    </row>
    <row r="13" spans="1:51">
      <c r="A13" s="127" t="s">
        <v>174</v>
      </c>
      <c r="B13" s="129">
        <v>375</v>
      </c>
      <c r="C13" s="129">
        <v>500</v>
      </c>
      <c r="D13" s="129">
        <v>500</v>
      </c>
      <c r="E13" s="129">
        <v>275</v>
      </c>
      <c r="F13" s="129">
        <v>100</v>
      </c>
      <c r="G13" s="129">
        <v>100</v>
      </c>
      <c r="H13" s="129">
        <v>75</v>
      </c>
      <c r="I13" s="129">
        <v>75</v>
      </c>
      <c r="J13" s="129">
        <v>75</v>
      </c>
      <c r="K13" s="129">
        <v>75</v>
      </c>
      <c r="L13" s="129">
        <v>50</v>
      </c>
      <c r="M13" s="129">
        <v>50</v>
      </c>
      <c r="N13" s="125">
        <f t="shared" si="3"/>
        <v>2250</v>
      </c>
      <c r="O13" s="103"/>
      <c r="P13" s="129">
        <v>375</v>
      </c>
      <c r="Q13" s="129">
        <v>500</v>
      </c>
      <c r="R13" s="129">
        <v>500</v>
      </c>
      <c r="S13" s="129">
        <v>275</v>
      </c>
      <c r="T13" s="129">
        <v>100</v>
      </c>
      <c r="U13" s="129">
        <v>100</v>
      </c>
      <c r="V13" s="129">
        <v>75</v>
      </c>
      <c r="W13" s="129">
        <v>75</v>
      </c>
      <c r="X13" s="129">
        <v>75</v>
      </c>
      <c r="Y13" s="129">
        <v>75</v>
      </c>
      <c r="Z13" s="129">
        <v>50</v>
      </c>
      <c r="AA13" s="129">
        <v>50</v>
      </c>
      <c r="AB13" s="188">
        <f t="shared" si="4"/>
        <v>2250</v>
      </c>
      <c r="AC13" s="103"/>
      <c r="AD13" s="129">
        <v>375</v>
      </c>
      <c r="AE13" s="129">
        <v>500</v>
      </c>
      <c r="AF13" s="129">
        <v>500</v>
      </c>
      <c r="AG13" s="129">
        <v>275</v>
      </c>
      <c r="AH13" s="129">
        <v>100</v>
      </c>
      <c r="AI13" s="129">
        <v>100</v>
      </c>
      <c r="AJ13" s="129">
        <v>75</v>
      </c>
      <c r="AK13" s="129">
        <v>75</v>
      </c>
      <c r="AL13" s="129">
        <v>75</v>
      </c>
      <c r="AM13" s="129">
        <v>75</v>
      </c>
      <c r="AN13" s="129">
        <v>50</v>
      </c>
      <c r="AO13" s="129">
        <v>50</v>
      </c>
      <c r="AP13" s="125">
        <f t="shared" si="5"/>
        <v>2250</v>
      </c>
      <c r="AQ13" s="102"/>
      <c r="AR13" s="126">
        <f t="shared" si="6"/>
        <v>6750</v>
      </c>
    </row>
    <row r="14" spans="1:51">
      <c r="A14" s="127" t="s">
        <v>152</v>
      </c>
      <c r="B14" s="129">
        <v>125</v>
      </c>
      <c r="C14" s="129">
        <v>125</v>
      </c>
      <c r="D14" s="129">
        <v>125</v>
      </c>
      <c r="E14" s="129">
        <v>125</v>
      </c>
      <c r="F14" s="129">
        <v>125</v>
      </c>
      <c r="G14" s="129">
        <v>125</v>
      </c>
      <c r="H14" s="129">
        <v>125</v>
      </c>
      <c r="I14" s="129">
        <v>125</v>
      </c>
      <c r="J14" s="129">
        <v>125</v>
      </c>
      <c r="K14" s="129">
        <v>125</v>
      </c>
      <c r="L14" s="129">
        <v>125</v>
      </c>
      <c r="M14" s="129">
        <v>125</v>
      </c>
      <c r="N14" s="125">
        <f t="shared" si="3"/>
        <v>1500</v>
      </c>
      <c r="O14" s="103"/>
      <c r="P14" s="129">
        <v>125</v>
      </c>
      <c r="Q14" s="129">
        <v>125</v>
      </c>
      <c r="R14" s="129">
        <v>125</v>
      </c>
      <c r="S14" s="129">
        <v>125</v>
      </c>
      <c r="T14" s="129">
        <v>125</v>
      </c>
      <c r="U14" s="129">
        <v>125</v>
      </c>
      <c r="V14" s="129">
        <v>125</v>
      </c>
      <c r="W14" s="129">
        <v>125</v>
      </c>
      <c r="X14" s="129">
        <v>125</v>
      </c>
      <c r="Y14" s="129">
        <v>125</v>
      </c>
      <c r="Z14" s="129">
        <v>125</v>
      </c>
      <c r="AA14" s="129">
        <v>125</v>
      </c>
      <c r="AB14" s="188">
        <f t="shared" si="4"/>
        <v>1500</v>
      </c>
      <c r="AC14" s="103"/>
      <c r="AD14" s="129">
        <v>125</v>
      </c>
      <c r="AE14" s="129">
        <v>125</v>
      </c>
      <c r="AF14" s="129">
        <v>125</v>
      </c>
      <c r="AG14" s="129">
        <v>125</v>
      </c>
      <c r="AH14" s="129">
        <v>125</v>
      </c>
      <c r="AI14" s="129">
        <v>125</v>
      </c>
      <c r="AJ14" s="129">
        <v>125</v>
      </c>
      <c r="AK14" s="129">
        <v>125</v>
      </c>
      <c r="AL14" s="129">
        <v>125</v>
      </c>
      <c r="AM14" s="129">
        <v>125</v>
      </c>
      <c r="AN14" s="129">
        <v>125</v>
      </c>
      <c r="AO14" s="129">
        <v>125</v>
      </c>
      <c r="AP14" s="125">
        <f t="shared" si="5"/>
        <v>1500</v>
      </c>
      <c r="AQ14" s="102"/>
      <c r="AR14" s="126">
        <f t="shared" si="6"/>
        <v>4500</v>
      </c>
    </row>
    <row r="15" spans="1:51">
      <c r="A15" s="127" t="s">
        <v>153</v>
      </c>
      <c r="B15" s="129">
        <v>125</v>
      </c>
      <c r="C15" s="129">
        <v>125</v>
      </c>
      <c r="D15" s="129">
        <v>125</v>
      </c>
      <c r="E15" s="129">
        <v>125</v>
      </c>
      <c r="F15" s="129">
        <v>125</v>
      </c>
      <c r="G15" s="129">
        <v>125</v>
      </c>
      <c r="H15" s="129">
        <v>125</v>
      </c>
      <c r="I15" s="129">
        <v>125</v>
      </c>
      <c r="J15" s="129">
        <v>125</v>
      </c>
      <c r="K15" s="129">
        <v>125</v>
      </c>
      <c r="L15" s="129">
        <v>125</v>
      </c>
      <c r="M15" s="129">
        <v>125</v>
      </c>
      <c r="N15" s="125">
        <f>SUM(B15:M15)</f>
        <v>1500</v>
      </c>
      <c r="O15" s="103"/>
      <c r="P15" s="129">
        <v>125</v>
      </c>
      <c r="Q15" s="129">
        <v>125</v>
      </c>
      <c r="R15" s="129">
        <v>125</v>
      </c>
      <c r="S15" s="129">
        <v>125</v>
      </c>
      <c r="T15" s="129">
        <v>125</v>
      </c>
      <c r="U15" s="129">
        <v>125</v>
      </c>
      <c r="V15" s="129">
        <v>125</v>
      </c>
      <c r="W15" s="129">
        <v>125</v>
      </c>
      <c r="X15" s="129">
        <v>125</v>
      </c>
      <c r="Y15" s="129">
        <v>125</v>
      </c>
      <c r="Z15" s="129">
        <v>125</v>
      </c>
      <c r="AA15" s="129">
        <v>125</v>
      </c>
      <c r="AB15" s="188">
        <f>SUM(P15:AA15)</f>
        <v>1500</v>
      </c>
      <c r="AC15" s="103"/>
      <c r="AD15" s="129">
        <v>125</v>
      </c>
      <c r="AE15" s="129">
        <v>125</v>
      </c>
      <c r="AF15" s="129">
        <v>125</v>
      </c>
      <c r="AG15" s="129">
        <v>125</v>
      </c>
      <c r="AH15" s="129">
        <v>125</v>
      </c>
      <c r="AI15" s="129">
        <v>125</v>
      </c>
      <c r="AJ15" s="129">
        <v>125</v>
      </c>
      <c r="AK15" s="129">
        <v>125</v>
      </c>
      <c r="AL15" s="129">
        <v>125</v>
      </c>
      <c r="AM15" s="129">
        <v>125</v>
      </c>
      <c r="AN15" s="129">
        <v>125</v>
      </c>
      <c r="AO15" s="129">
        <v>125</v>
      </c>
      <c r="AP15" s="125">
        <f>SUM(AD15:AO15)</f>
        <v>1500</v>
      </c>
      <c r="AQ15" s="102"/>
      <c r="AR15" s="126">
        <f>AP15+AB15+N15</f>
        <v>4500</v>
      </c>
    </row>
    <row r="16" spans="1:51">
      <c r="A16" s="127" t="s">
        <v>180</v>
      </c>
      <c r="B16" s="129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5">
        <f t="shared" ref="N16:N17" si="7">SUM(B16:M16)</f>
        <v>0</v>
      </c>
      <c r="O16" s="205"/>
      <c r="P16" s="129">
        <v>750</v>
      </c>
      <c r="Q16" s="129">
        <v>750</v>
      </c>
      <c r="R16" s="129">
        <v>750</v>
      </c>
      <c r="S16" s="129">
        <v>750</v>
      </c>
      <c r="T16" s="129">
        <v>750</v>
      </c>
      <c r="U16" s="129">
        <v>750</v>
      </c>
      <c r="V16" s="129">
        <v>750</v>
      </c>
      <c r="W16" s="129">
        <v>750</v>
      </c>
      <c r="X16" s="129">
        <v>750</v>
      </c>
      <c r="Y16" s="129">
        <v>750</v>
      </c>
      <c r="Z16" s="129">
        <v>750</v>
      </c>
      <c r="AA16" s="129">
        <v>750</v>
      </c>
      <c r="AB16" s="188">
        <f t="shared" ref="AB16:AB17" si="8">SUM(P16:AA16)</f>
        <v>9000</v>
      </c>
      <c r="AC16" s="103"/>
      <c r="AD16" s="129">
        <v>750</v>
      </c>
      <c r="AE16" s="129">
        <v>750</v>
      </c>
      <c r="AF16" s="129">
        <v>750</v>
      </c>
      <c r="AG16" s="129">
        <v>750</v>
      </c>
      <c r="AH16" s="129">
        <v>750</v>
      </c>
      <c r="AI16" s="129">
        <v>750</v>
      </c>
      <c r="AJ16" s="129">
        <v>750</v>
      </c>
      <c r="AK16" s="129">
        <v>750</v>
      </c>
      <c r="AL16" s="129">
        <v>750</v>
      </c>
      <c r="AM16" s="129">
        <v>750</v>
      </c>
      <c r="AN16" s="129">
        <v>750</v>
      </c>
      <c r="AO16" s="129">
        <v>750</v>
      </c>
      <c r="AP16" s="125">
        <f t="shared" ref="AP16:AP17" si="9">SUM(AD16:AO16)</f>
        <v>9000</v>
      </c>
      <c r="AQ16" s="102"/>
      <c r="AR16" s="126">
        <f t="shared" ref="AR16:AR17" si="10">AP16+AB16+N16</f>
        <v>18000</v>
      </c>
    </row>
    <row r="17" spans="1:44">
      <c r="A17" s="127" t="s">
        <v>168</v>
      </c>
      <c r="B17" s="186">
        <v>0</v>
      </c>
      <c r="C17" s="186">
        <v>0</v>
      </c>
      <c r="D17" s="186">
        <v>0</v>
      </c>
      <c r="E17" s="186">
        <v>0</v>
      </c>
      <c r="F17" s="186">
        <v>0</v>
      </c>
      <c r="G17" s="186">
        <v>0</v>
      </c>
      <c r="H17" s="186">
        <v>0</v>
      </c>
      <c r="I17" s="186">
        <v>0</v>
      </c>
      <c r="J17" s="186">
        <v>0</v>
      </c>
      <c r="K17" s="186">
        <v>0</v>
      </c>
      <c r="L17" s="186">
        <v>0</v>
      </c>
      <c r="M17" s="186">
        <v>0</v>
      </c>
      <c r="N17" s="125">
        <f t="shared" si="7"/>
        <v>0</v>
      </c>
      <c r="O17" s="206"/>
      <c r="P17" s="187">
        <v>0</v>
      </c>
      <c r="Q17" s="187">
        <v>0</v>
      </c>
      <c r="R17" s="187">
        <v>0</v>
      </c>
      <c r="S17" s="187">
        <v>0</v>
      </c>
      <c r="T17" s="187">
        <v>0</v>
      </c>
      <c r="U17" s="187">
        <v>0</v>
      </c>
      <c r="V17" s="187">
        <v>0</v>
      </c>
      <c r="W17" s="187">
        <v>0</v>
      </c>
      <c r="X17" s="187">
        <v>0</v>
      </c>
      <c r="Y17" s="187">
        <v>0</v>
      </c>
      <c r="Z17" s="187">
        <v>0</v>
      </c>
      <c r="AA17" s="187">
        <v>0</v>
      </c>
      <c r="AB17" s="188">
        <f t="shared" si="8"/>
        <v>0</v>
      </c>
      <c r="AD17" s="187">
        <v>750</v>
      </c>
      <c r="AE17" s="187">
        <v>750</v>
      </c>
      <c r="AF17" s="187">
        <v>750</v>
      </c>
      <c r="AG17" s="187">
        <v>750</v>
      </c>
      <c r="AH17" s="187">
        <v>750</v>
      </c>
      <c r="AI17" s="187">
        <v>750</v>
      </c>
      <c r="AJ17" s="187">
        <v>750</v>
      </c>
      <c r="AK17" s="187">
        <v>750</v>
      </c>
      <c r="AL17" s="187">
        <v>750</v>
      </c>
      <c r="AM17" s="187">
        <v>750</v>
      </c>
      <c r="AN17" s="187">
        <v>750</v>
      </c>
      <c r="AO17" s="187">
        <v>750</v>
      </c>
      <c r="AP17" s="125">
        <f t="shared" si="9"/>
        <v>9000</v>
      </c>
      <c r="AR17" s="126">
        <f t="shared" si="10"/>
        <v>9000</v>
      </c>
    </row>
    <row r="18" spans="1:44" ht="15" thickBot="1">
      <c r="A18" s="130" t="s">
        <v>45</v>
      </c>
      <c r="B18" s="131">
        <f>SUM(B7:B17)</f>
        <v>1863</v>
      </c>
      <c r="C18" s="132">
        <f t="shared" ref="C18:M18" si="11">SUM(C7:C16)</f>
        <v>2888</v>
      </c>
      <c r="D18" s="132">
        <f t="shared" si="11"/>
        <v>3088</v>
      </c>
      <c r="E18" s="132">
        <f t="shared" si="11"/>
        <v>2738</v>
      </c>
      <c r="F18" s="132">
        <f t="shared" si="11"/>
        <v>2413</v>
      </c>
      <c r="G18" s="132">
        <f t="shared" si="11"/>
        <v>2088</v>
      </c>
      <c r="H18" s="132">
        <f t="shared" si="11"/>
        <v>1637</v>
      </c>
      <c r="I18" s="132">
        <f t="shared" si="11"/>
        <v>1637</v>
      </c>
      <c r="J18" s="132">
        <f t="shared" si="11"/>
        <v>1937</v>
      </c>
      <c r="K18" s="132">
        <f t="shared" si="11"/>
        <v>2687</v>
      </c>
      <c r="L18" s="132">
        <f t="shared" si="11"/>
        <v>2412</v>
      </c>
      <c r="M18" s="132">
        <f t="shared" si="11"/>
        <v>2362</v>
      </c>
      <c r="N18" s="133">
        <f>SUM(B18:M18)</f>
        <v>27750</v>
      </c>
      <c r="O18" s="103"/>
      <c r="P18" s="135">
        <f>SUM(P7:P17)</f>
        <v>4113</v>
      </c>
      <c r="Q18" s="135">
        <f t="shared" ref="Q18:AA18" si="12">SUM(Q7:Q16)</f>
        <v>4388</v>
      </c>
      <c r="R18" s="135">
        <f t="shared" si="12"/>
        <v>4588</v>
      </c>
      <c r="S18" s="135">
        <f t="shared" si="12"/>
        <v>4238</v>
      </c>
      <c r="T18" s="135">
        <f t="shared" si="12"/>
        <v>3913</v>
      </c>
      <c r="U18" s="135">
        <f t="shared" si="12"/>
        <v>3588</v>
      </c>
      <c r="V18" s="135">
        <f t="shared" si="12"/>
        <v>3137</v>
      </c>
      <c r="W18" s="135">
        <f t="shared" si="12"/>
        <v>3137</v>
      </c>
      <c r="X18" s="135">
        <f t="shared" si="12"/>
        <v>3437</v>
      </c>
      <c r="Y18" s="135">
        <f t="shared" si="12"/>
        <v>3437</v>
      </c>
      <c r="Z18" s="135">
        <f t="shared" si="12"/>
        <v>3162</v>
      </c>
      <c r="AA18" s="135">
        <f t="shared" si="12"/>
        <v>3112</v>
      </c>
      <c r="AB18" s="136">
        <f>SUM(P18:AA18)</f>
        <v>44250</v>
      </c>
      <c r="AC18" s="103"/>
      <c r="AD18" s="207">
        <f>SUM(AD7:AD17)</f>
        <v>4863</v>
      </c>
      <c r="AE18" s="207">
        <f t="shared" ref="AE18:AO18" si="13">SUM(AE7:AE17)</f>
        <v>5138</v>
      </c>
      <c r="AF18" s="207">
        <f t="shared" si="13"/>
        <v>5338</v>
      </c>
      <c r="AG18" s="207">
        <f t="shared" si="13"/>
        <v>4988</v>
      </c>
      <c r="AH18" s="207">
        <f t="shared" si="13"/>
        <v>4663</v>
      </c>
      <c r="AI18" s="207">
        <f t="shared" si="13"/>
        <v>4338</v>
      </c>
      <c r="AJ18" s="207">
        <f t="shared" si="13"/>
        <v>3887</v>
      </c>
      <c r="AK18" s="207">
        <f t="shared" si="13"/>
        <v>3887</v>
      </c>
      <c r="AL18" s="207">
        <f t="shared" si="13"/>
        <v>4187</v>
      </c>
      <c r="AM18" s="207">
        <f t="shared" si="13"/>
        <v>4187</v>
      </c>
      <c r="AN18" s="207">
        <f t="shared" si="13"/>
        <v>3912</v>
      </c>
      <c r="AO18" s="207">
        <f t="shared" si="13"/>
        <v>3862</v>
      </c>
      <c r="AP18" s="137">
        <f>SUM(AD18:AO18)</f>
        <v>53250</v>
      </c>
      <c r="AQ18" s="102"/>
      <c r="AR18" s="136">
        <f t="shared" si="6"/>
        <v>125250</v>
      </c>
    </row>
    <row r="19" spans="1:44" s="102" customFormat="1" ht="15" thickBot="1">
      <c r="A19" s="138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R19" s="103"/>
    </row>
    <row r="20" spans="1:44">
      <c r="A20" s="120" t="s">
        <v>48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2"/>
      <c r="O20" s="103"/>
      <c r="P20" s="164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39"/>
      <c r="AC20" s="103"/>
      <c r="AD20" s="165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2"/>
      <c r="AQ20" s="102"/>
      <c r="AR20" s="140"/>
    </row>
    <row r="21" spans="1:44">
      <c r="A21" s="141" t="s">
        <v>79</v>
      </c>
      <c r="B21" s="129" t="s">
        <v>79</v>
      </c>
      <c r="C21" s="129" t="s">
        <v>79</v>
      </c>
      <c r="D21" s="129" t="s">
        <v>79</v>
      </c>
      <c r="E21" s="129" t="s">
        <v>79</v>
      </c>
      <c r="F21" s="129"/>
      <c r="G21" s="129"/>
      <c r="H21" s="129"/>
      <c r="I21" s="129"/>
      <c r="J21" s="129"/>
      <c r="K21" s="129"/>
      <c r="L21" s="129"/>
      <c r="M21" s="129"/>
      <c r="N21" s="125">
        <f>SUM(B21:M21)</f>
        <v>0</v>
      </c>
      <c r="O21" s="103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4">
        <f>SUM(P21:AA21)</f>
        <v>0</v>
      </c>
      <c r="AC21" s="103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5">
        <f>SUM(AD21:AO21)</f>
        <v>0</v>
      </c>
      <c r="AQ21" s="102"/>
      <c r="AR21" s="126">
        <f>AP21+AB21+N21</f>
        <v>0</v>
      </c>
    </row>
    <row r="22" spans="1:44">
      <c r="A22" s="141" t="s">
        <v>79</v>
      </c>
      <c r="B22" s="129" t="s">
        <v>79</v>
      </c>
      <c r="C22" s="129"/>
      <c r="D22" s="129"/>
      <c r="E22" s="129"/>
      <c r="F22" s="129"/>
      <c r="G22" s="129" t="s">
        <v>79</v>
      </c>
      <c r="H22" s="129"/>
      <c r="I22" s="129"/>
      <c r="J22" s="129"/>
      <c r="K22" s="129"/>
      <c r="L22" s="129"/>
      <c r="M22" s="129"/>
      <c r="N22" s="125">
        <f>SUM(B22:M22)</f>
        <v>0</v>
      </c>
      <c r="O22" s="103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4">
        <f>SUM(P22:AA22)</f>
        <v>0</v>
      </c>
      <c r="AC22" s="103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5">
        <f>SUM(AD22:AO22)</f>
        <v>0</v>
      </c>
      <c r="AQ22" s="102"/>
      <c r="AR22" s="126">
        <f>AP22+AB22+N22</f>
        <v>0</v>
      </c>
    </row>
    <row r="23" spans="1:44">
      <c r="A23" s="141" t="s">
        <v>79</v>
      </c>
      <c r="B23" s="129" t="s">
        <v>79</v>
      </c>
      <c r="C23" s="129"/>
      <c r="D23" s="129"/>
      <c r="E23" s="129" t="s">
        <v>79</v>
      </c>
      <c r="F23" s="129"/>
      <c r="G23" s="129"/>
      <c r="H23" s="129" t="s">
        <v>79</v>
      </c>
      <c r="I23" s="129"/>
      <c r="J23" s="129" t="s">
        <v>79</v>
      </c>
      <c r="K23" s="129" t="s">
        <v>79</v>
      </c>
      <c r="L23" s="129" t="s">
        <v>79</v>
      </c>
      <c r="M23" s="129"/>
      <c r="N23" s="125">
        <f>SUM(B23:M23)</f>
        <v>0</v>
      </c>
      <c r="O23" s="103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4">
        <f>SUM(P23:AA23)</f>
        <v>0</v>
      </c>
      <c r="AC23" s="103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5">
        <f>SUM(AD23:AO23)</f>
        <v>0</v>
      </c>
      <c r="AQ23" s="102"/>
      <c r="AR23" s="126">
        <f>AP23+AB23+N23</f>
        <v>0</v>
      </c>
    </row>
    <row r="24" spans="1:44" ht="15" thickBot="1">
      <c r="A24" s="130" t="s">
        <v>45</v>
      </c>
      <c r="B24" s="132">
        <f t="shared" ref="B24:M24" si="14">SUM(B21:B23)</f>
        <v>0</v>
      </c>
      <c r="C24" s="132">
        <f t="shared" si="14"/>
        <v>0</v>
      </c>
      <c r="D24" s="132">
        <f t="shared" si="14"/>
        <v>0</v>
      </c>
      <c r="E24" s="132">
        <f t="shared" si="14"/>
        <v>0</v>
      </c>
      <c r="F24" s="132">
        <f t="shared" si="14"/>
        <v>0</v>
      </c>
      <c r="G24" s="132">
        <f t="shared" si="14"/>
        <v>0</v>
      </c>
      <c r="H24" s="132">
        <f t="shared" si="14"/>
        <v>0</v>
      </c>
      <c r="I24" s="132">
        <f t="shared" si="14"/>
        <v>0</v>
      </c>
      <c r="J24" s="132">
        <f t="shared" si="14"/>
        <v>0</v>
      </c>
      <c r="K24" s="132">
        <f t="shared" si="14"/>
        <v>0</v>
      </c>
      <c r="L24" s="132">
        <f t="shared" si="14"/>
        <v>0</v>
      </c>
      <c r="M24" s="132">
        <f t="shared" si="14"/>
        <v>0</v>
      </c>
      <c r="N24" s="133">
        <f>SUM(B24:M24)</f>
        <v>0</v>
      </c>
      <c r="O24" s="103"/>
      <c r="P24" s="135">
        <f t="shared" ref="P24:AA24" si="15">SUM(P21:P23)</f>
        <v>0</v>
      </c>
      <c r="Q24" s="135">
        <f t="shared" si="15"/>
        <v>0</v>
      </c>
      <c r="R24" s="135">
        <f t="shared" si="15"/>
        <v>0</v>
      </c>
      <c r="S24" s="135">
        <f t="shared" si="15"/>
        <v>0</v>
      </c>
      <c r="T24" s="135">
        <f t="shared" si="15"/>
        <v>0</v>
      </c>
      <c r="U24" s="135">
        <f t="shared" si="15"/>
        <v>0</v>
      </c>
      <c r="V24" s="135">
        <f t="shared" si="15"/>
        <v>0</v>
      </c>
      <c r="W24" s="135">
        <f t="shared" si="15"/>
        <v>0</v>
      </c>
      <c r="X24" s="135">
        <f t="shared" si="15"/>
        <v>0</v>
      </c>
      <c r="Y24" s="135">
        <f t="shared" si="15"/>
        <v>0</v>
      </c>
      <c r="Z24" s="135">
        <f t="shared" si="15"/>
        <v>0</v>
      </c>
      <c r="AA24" s="135">
        <f t="shared" si="15"/>
        <v>0</v>
      </c>
      <c r="AB24" s="142">
        <f>SUM(P24:AA24)</f>
        <v>0</v>
      </c>
      <c r="AC24" s="103"/>
      <c r="AD24" s="132">
        <f t="shared" ref="AD24:AO24" si="16">SUM(AD21:AD23)</f>
        <v>0</v>
      </c>
      <c r="AE24" s="132">
        <f t="shared" si="16"/>
        <v>0</v>
      </c>
      <c r="AF24" s="132">
        <f t="shared" si="16"/>
        <v>0</v>
      </c>
      <c r="AG24" s="132">
        <f t="shared" si="16"/>
        <v>0</v>
      </c>
      <c r="AH24" s="132">
        <f t="shared" si="16"/>
        <v>0</v>
      </c>
      <c r="AI24" s="132">
        <f t="shared" si="16"/>
        <v>0</v>
      </c>
      <c r="AJ24" s="132">
        <f t="shared" si="16"/>
        <v>0</v>
      </c>
      <c r="AK24" s="132">
        <f t="shared" si="16"/>
        <v>0</v>
      </c>
      <c r="AL24" s="132">
        <f t="shared" si="16"/>
        <v>0</v>
      </c>
      <c r="AM24" s="132">
        <f t="shared" si="16"/>
        <v>0</v>
      </c>
      <c r="AN24" s="132">
        <f t="shared" si="16"/>
        <v>0</v>
      </c>
      <c r="AO24" s="132">
        <f t="shared" si="16"/>
        <v>0</v>
      </c>
      <c r="AP24" s="133">
        <f>SUM(AD24:AO24)</f>
        <v>0</v>
      </c>
      <c r="AQ24" s="102"/>
      <c r="AR24" s="136">
        <f>AP24+AB24+N24</f>
        <v>0</v>
      </c>
    </row>
    <row r="25" spans="1:44" s="102" customFormat="1" ht="15" thickBot="1">
      <c r="A25" s="138"/>
      <c r="B25" s="103" t="s">
        <v>79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R25" s="103"/>
    </row>
    <row r="26" spans="1:44">
      <c r="A26" s="120" t="s">
        <v>49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2"/>
      <c r="O26" s="103"/>
      <c r="P26" s="164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39"/>
      <c r="AC26" s="103"/>
      <c r="AD26" s="165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2"/>
      <c r="AQ26" s="102"/>
      <c r="AR26" s="140"/>
    </row>
    <row r="27" spans="1:44">
      <c r="A27" s="141" t="s">
        <v>206</v>
      </c>
      <c r="B27" s="128"/>
      <c r="C27" s="128"/>
      <c r="D27" s="128"/>
      <c r="E27" s="128"/>
      <c r="F27" s="128"/>
      <c r="G27" s="128">
        <v>365</v>
      </c>
      <c r="H27" s="128"/>
      <c r="I27" s="128"/>
      <c r="J27" s="128"/>
      <c r="K27" s="128"/>
      <c r="L27" s="128"/>
      <c r="M27" s="128"/>
      <c r="N27" s="125">
        <f>SUM(B27:M27)</f>
        <v>365</v>
      </c>
      <c r="O27" s="103"/>
      <c r="P27" s="129"/>
      <c r="Q27" s="129"/>
      <c r="R27" s="129"/>
      <c r="S27" s="129"/>
      <c r="T27" s="129" t="s">
        <v>79</v>
      </c>
      <c r="U27" s="129"/>
      <c r="V27" s="129" t="s">
        <v>79</v>
      </c>
      <c r="W27" s="129"/>
      <c r="X27" s="129"/>
      <c r="Y27" s="129" t="s">
        <v>79</v>
      </c>
      <c r="Z27" s="129"/>
      <c r="AA27" s="129">
        <v>700</v>
      </c>
      <c r="AB27" s="124">
        <f>SUM(P27:AA27)</f>
        <v>700</v>
      </c>
      <c r="AC27" s="103"/>
      <c r="AD27" s="129"/>
      <c r="AE27" s="129"/>
      <c r="AF27" s="129" t="s">
        <v>79</v>
      </c>
      <c r="AG27" s="129"/>
      <c r="AH27" s="129" t="s">
        <v>79</v>
      </c>
      <c r="AI27" s="129"/>
      <c r="AJ27" s="129" t="s">
        <v>79</v>
      </c>
      <c r="AK27" s="129"/>
      <c r="AL27" s="129" t="s">
        <v>79</v>
      </c>
      <c r="AM27" s="129"/>
      <c r="AN27" s="129"/>
      <c r="AO27" s="129">
        <v>1500</v>
      </c>
      <c r="AP27" s="125">
        <f>SUM(AD27:AO27)</f>
        <v>1500</v>
      </c>
      <c r="AQ27" s="102"/>
      <c r="AR27" s="126">
        <f>AP27+AB27+N27</f>
        <v>2565</v>
      </c>
    </row>
    <row r="28" spans="1:44">
      <c r="A28" s="88" t="s">
        <v>182</v>
      </c>
      <c r="B28" s="128">
        <v>350</v>
      </c>
      <c r="C28" s="129"/>
      <c r="D28" s="129"/>
      <c r="E28" s="129">
        <v>850</v>
      </c>
      <c r="F28" s="129"/>
      <c r="G28" s="129">
        <v>100</v>
      </c>
      <c r="H28" s="129">
        <v>250</v>
      </c>
      <c r="I28" s="129"/>
      <c r="J28" s="129"/>
      <c r="K28" s="129">
        <v>250</v>
      </c>
      <c r="L28" s="129"/>
      <c r="M28" s="129"/>
      <c r="N28" s="125">
        <f>SUM(B28:M28)</f>
        <v>1800</v>
      </c>
      <c r="O28" s="103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>
        <v>5300</v>
      </c>
      <c r="AB28" s="124">
        <f>SUM(P28:AA28)</f>
        <v>5300</v>
      </c>
      <c r="AC28" s="103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>
        <v>5565</v>
      </c>
      <c r="AP28" s="125">
        <f>SUM(AD28:AO28)</f>
        <v>5565</v>
      </c>
      <c r="AQ28" s="102"/>
      <c r="AR28" s="126">
        <f>AP28+AB28+N28</f>
        <v>12665</v>
      </c>
    </row>
    <row r="29" spans="1:44">
      <c r="A29" s="141" t="s">
        <v>79</v>
      </c>
      <c r="B29" s="128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5">
        <f>SUM(B29:M29)</f>
        <v>0</v>
      </c>
      <c r="O29" s="103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4">
        <f>SUM(P29:AA29)</f>
        <v>0</v>
      </c>
      <c r="AC29" s="103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5">
        <f>SUM(AD29:AO29)</f>
        <v>0</v>
      </c>
      <c r="AQ29" s="102"/>
      <c r="AR29" s="126">
        <f>AP29+AB29+N29</f>
        <v>0</v>
      </c>
    </row>
    <row r="30" spans="1:44" ht="15" thickBot="1">
      <c r="A30" s="130" t="s">
        <v>45</v>
      </c>
      <c r="B30" s="131">
        <f>SUM(B27:B29)</f>
        <v>350</v>
      </c>
      <c r="C30" s="131">
        <f t="shared" ref="C30:M30" si="17">SUM(C27:C29)</f>
        <v>0</v>
      </c>
      <c r="D30" s="131">
        <f t="shared" si="17"/>
        <v>0</v>
      </c>
      <c r="E30" s="131">
        <f t="shared" si="17"/>
        <v>850</v>
      </c>
      <c r="F30" s="131">
        <f t="shared" si="17"/>
        <v>0</v>
      </c>
      <c r="G30" s="131">
        <f t="shared" si="17"/>
        <v>465</v>
      </c>
      <c r="H30" s="131">
        <f t="shared" si="17"/>
        <v>250</v>
      </c>
      <c r="I30" s="131">
        <f t="shared" si="17"/>
        <v>0</v>
      </c>
      <c r="J30" s="131">
        <f t="shared" si="17"/>
        <v>0</v>
      </c>
      <c r="K30" s="131">
        <f t="shared" si="17"/>
        <v>250</v>
      </c>
      <c r="L30" s="131">
        <f t="shared" si="17"/>
        <v>0</v>
      </c>
      <c r="M30" s="131">
        <f t="shared" si="17"/>
        <v>0</v>
      </c>
      <c r="N30" s="133">
        <f>SUM(B30:M30)</f>
        <v>2165</v>
      </c>
      <c r="O30" s="103"/>
      <c r="P30" s="135">
        <f>SUM(P27:P29)</f>
        <v>0</v>
      </c>
      <c r="Q30" s="135">
        <f t="shared" ref="Q30:AA30" si="18">SUM(Q27:Q29)</f>
        <v>0</v>
      </c>
      <c r="R30" s="135">
        <f t="shared" si="18"/>
        <v>0</v>
      </c>
      <c r="S30" s="135">
        <f t="shared" si="18"/>
        <v>0</v>
      </c>
      <c r="T30" s="135">
        <f t="shared" si="18"/>
        <v>0</v>
      </c>
      <c r="U30" s="135">
        <f t="shared" si="18"/>
        <v>0</v>
      </c>
      <c r="V30" s="135">
        <f t="shared" si="18"/>
        <v>0</v>
      </c>
      <c r="W30" s="135">
        <f t="shared" si="18"/>
        <v>0</v>
      </c>
      <c r="X30" s="135">
        <f t="shared" si="18"/>
        <v>0</v>
      </c>
      <c r="Y30" s="135">
        <f t="shared" si="18"/>
        <v>0</v>
      </c>
      <c r="Z30" s="135">
        <f t="shared" si="18"/>
        <v>0</v>
      </c>
      <c r="AA30" s="135">
        <f t="shared" si="18"/>
        <v>6000</v>
      </c>
      <c r="AB30" s="142">
        <f>SUM(P30:AA30)</f>
        <v>6000</v>
      </c>
      <c r="AC30" s="103"/>
      <c r="AD30" s="132">
        <f>SUM(AD27:AD29)</f>
        <v>0</v>
      </c>
      <c r="AE30" s="132">
        <f t="shared" ref="AE30:AO30" si="19">SUM(AE27:AE29)</f>
        <v>0</v>
      </c>
      <c r="AF30" s="132">
        <f t="shared" si="19"/>
        <v>0</v>
      </c>
      <c r="AG30" s="132">
        <f t="shared" si="19"/>
        <v>0</v>
      </c>
      <c r="AH30" s="132">
        <f t="shared" si="19"/>
        <v>0</v>
      </c>
      <c r="AI30" s="132">
        <f t="shared" si="19"/>
        <v>0</v>
      </c>
      <c r="AJ30" s="132">
        <f t="shared" si="19"/>
        <v>0</v>
      </c>
      <c r="AK30" s="132">
        <f t="shared" si="19"/>
        <v>0</v>
      </c>
      <c r="AL30" s="132">
        <f t="shared" si="19"/>
        <v>0</v>
      </c>
      <c r="AM30" s="132">
        <f t="shared" si="19"/>
        <v>0</v>
      </c>
      <c r="AN30" s="132">
        <f t="shared" si="19"/>
        <v>0</v>
      </c>
      <c r="AO30" s="132">
        <f t="shared" si="19"/>
        <v>7065</v>
      </c>
      <c r="AP30" s="133">
        <f>SUM(AD30:AO30)</f>
        <v>7065</v>
      </c>
      <c r="AQ30" s="102"/>
      <c r="AR30" s="136">
        <f>AP30+AB30+N30</f>
        <v>15230</v>
      </c>
    </row>
    <row r="31" spans="1:44" s="103" customFormat="1" ht="15" thickBot="1">
      <c r="A31" s="138"/>
    </row>
    <row r="32" spans="1:44">
      <c r="A32" s="120" t="s">
        <v>50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2"/>
      <c r="O32" s="103"/>
      <c r="P32" s="164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39"/>
      <c r="AC32" s="103"/>
      <c r="AD32" s="165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2"/>
      <c r="AQ32" s="102"/>
      <c r="AR32" s="140"/>
    </row>
    <row r="33" spans="1:44">
      <c r="A33" s="141" t="s">
        <v>149</v>
      </c>
      <c r="B33" s="128">
        <v>520</v>
      </c>
      <c r="C33" s="129">
        <v>750</v>
      </c>
      <c r="D33" s="129">
        <v>500</v>
      </c>
      <c r="E33" s="129"/>
      <c r="F33" s="129"/>
      <c r="G33" s="129"/>
      <c r="H33" s="129">
        <v>750</v>
      </c>
      <c r="I33" s="129"/>
      <c r="J33" s="129"/>
      <c r="K33" s="129"/>
      <c r="L33" s="129"/>
      <c r="M33" s="129"/>
      <c r="N33" s="125">
        <f>SUM(B33:M33)</f>
        <v>2520</v>
      </c>
      <c r="O33" s="103"/>
      <c r="P33" s="128" t="s">
        <v>79</v>
      </c>
      <c r="Q33" s="129" t="s">
        <v>79</v>
      </c>
      <c r="R33" s="129" t="s">
        <v>79</v>
      </c>
      <c r="S33" s="129" t="s">
        <v>79</v>
      </c>
      <c r="T33" s="129"/>
      <c r="U33" s="129"/>
      <c r="V33" s="129" t="s">
        <v>79</v>
      </c>
      <c r="W33" s="129" t="s">
        <v>79</v>
      </c>
      <c r="X33" s="129"/>
      <c r="Y33" s="129"/>
      <c r="Z33" s="129"/>
      <c r="AA33" s="129">
        <v>2646</v>
      </c>
      <c r="AB33" s="124">
        <f>SUM(P33:AA33)</f>
        <v>2646</v>
      </c>
      <c r="AC33" s="103"/>
      <c r="AD33" s="128" t="s">
        <v>79</v>
      </c>
      <c r="AE33" s="129" t="s">
        <v>79</v>
      </c>
      <c r="AF33" s="129" t="s">
        <v>79</v>
      </c>
      <c r="AG33" s="129"/>
      <c r="AH33" s="129"/>
      <c r="AI33" s="129"/>
      <c r="AJ33" s="129" t="s">
        <v>79</v>
      </c>
      <c r="AK33" s="129"/>
      <c r="AL33" s="129"/>
      <c r="AM33" s="129"/>
      <c r="AN33" s="129"/>
      <c r="AO33" s="129">
        <v>2778</v>
      </c>
      <c r="AP33" s="125">
        <f>SUM(AD33:AO33)</f>
        <v>2778</v>
      </c>
      <c r="AQ33" s="102"/>
      <c r="AR33" s="126">
        <f>AP33+AB33+N33</f>
        <v>7944</v>
      </c>
    </row>
    <row r="34" spans="1:44">
      <c r="A34" s="141" t="s">
        <v>150</v>
      </c>
      <c r="B34" s="128">
        <v>750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5">
        <f>SUM(B34:M34)</f>
        <v>750</v>
      </c>
      <c r="O34" s="103"/>
      <c r="P34" s="128" t="s">
        <v>79</v>
      </c>
      <c r="Q34" s="129"/>
      <c r="R34" s="129" t="s">
        <v>79</v>
      </c>
      <c r="S34" s="129"/>
      <c r="T34" s="129"/>
      <c r="U34" s="129"/>
      <c r="V34" s="129"/>
      <c r="W34" s="129"/>
      <c r="X34" s="129"/>
      <c r="Y34" s="129"/>
      <c r="Z34" s="129"/>
      <c r="AA34" s="129">
        <v>2000</v>
      </c>
      <c r="AB34" s="124">
        <f>SUM(P34:AA34)</f>
        <v>2000</v>
      </c>
      <c r="AC34" s="103"/>
      <c r="AD34" s="128" t="s">
        <v>79</v>
      </c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>
        <v>2100</v>
      </c>
      <c r="AP34" s="125">
        <f>SUM(AD34:AO34)</f>
        <v>2100</v>
      </c>
      <c r="AQ34" s="102"/>
      <c r="AR34" s="126">
        <f>AP34+AB34+N34</f>
        <v>4850</v>
      </c>
    </row>
    <row r="35" spans="1:44">
      <c r="A35" s="141" t="s">
        <v>151</v>
      </c>
      <c r="B35" s="128">
        <v>55</v>
      </c>
      <c r="C35" s="129"/>
      <c r="D35" s="129">
        <v>100</v>
      </c>
      <c r="E35" s="129">
        <v>400</v>
      </c>
      <c r="F35" s="129"/>
      <c r="G35" s="129">
        <v>150</v>
      </c>
      <c r="H35" s="129"/>
      <c r="I35" s="129">
        <v>55</v>
      </c>
      <c r="J35" s="129">
        <v>400</v>
      </c>
      <c r="K35" s="129"/>
      <c r="L35" s="129"/>
      <c r="M35" s="129"/>
      <c r="N35" s="125">
        <f>SUM(B35:M35)</f>
        <v>1160</v>
      </c>
      <c r="O35" s="103"/>
      <c r="P35" s="128" t="s">
        <v>79</v>
      </c>
      <c r="Q35" s="129"/>
      <c r="R35" s="129" t="s">
        <v>79</v>
      </c>
      <c r="S35" s="129" t="s">
        <v>79</v>
      </c>
      <c r="T35" s="129" t="s">
        <v>79</v>
      </c>
      <c r="U35" s="129" t="s">
        <v>79</v>
      </c>
      <c r="V35" s="129"/>
      <c r="W35" s="129" t="s">
        <v>79</v>
      </c>
      <c r="X35" s="129" t="s">
        <v>79</v>
      </c>
      <c r="Y35" s="129"/>
      <c r="Z35" s="129"/>
      <c r="AA35" s="129">
        <v>5300</v>
      </c>
      <c r="AB35" s="124">
        <f>SUM(P35:AA35)</f>
        <v>5300</v>
      </c>
      <c r="AC35" s="103"/>
      <c r="AD35" s="128" t="s">
        <v>79</v>
      </c>
      <c r="AE35" s="129"/>
      <c r="AF35" s="129" t="s">
        <v>79</v>
      </c>
      <c r="AG35" s="129" t="s">
        <v>79</v>
      </c>
      <c r="AH35" s="129"/>
      <c r="AI35" s="129" t="s">
        <v>79</v>
      </c>
      <c r="AJ35" s="129"/>
      <c r="AK35" s="129" t="s">
        <v>79</v>
      </c>
      <c r="AL35" s="129" t="s">
        <v>79</v>
      </c>
      <c r="AM35" s="129"/>
      <c r="AN35" s="129"/>
      <c r="AO35" s="129">
        <v>2100</v>
      </c>
      <c r="AP35" s="125">
        <f>SUM(AD35:AO35)</f>
        <v>2100</v>
      </c>
      <c r="AQ35" s="102"/>
      <c r="AR35" s="126">
        <f>AP35+AB35+N35</f>
        <v>8560</v>
      </c>
    </row>
    <row r="36" spans="1:44" ht="15" thickBot="1">
      <c r="A36" s="130" t="s">
        <v>45</v>
      </c>
      <c r="B36" s="143">
        <f>SUM(B33:B35)</f>
        <v>1325</v>
      </c>
      <c r="C36" s="131">
        <f t="shared" ref="C36:M36" si="20">SUM(C33:C35)</f>
        <v>750</v>
      </c>
      <c r="D36" s="131">
        <f t="shared" si="20"/>
        <v>600</v>
      </c>
      <c r="E36" s="131">
        <f t="shared" si="20"/>
        <v>400</v>
      </c>
      <c r="F36" s="131">
        <f t="shared" si="20"/>
        <v>0</v>
      </c>
      <c r="G36" s="131">
        <f t="shared" si="20"/>
        <v>150</v>
      </c>
      <c r="H36" s="131">
        <f t="shared" si="20"/>
        <v>750</v>
      </c>
      <c r="I36" s="131">
        <f t="shared" si="20"/>
        <v>55</v>
      </c>
      <c r="J36" s="131">
        <f t="shared" si="20"/>
        <v>400</v>
      </c>
      <c r="K36" s="131">
        <f t="shared" si="20"/>
        <v>0</v>
      </c>
      <c r="L36" s="131">
        <f t="shared" si="20"/>
        <v>0</v>
      </c>
      <c r="M36" s="131">
        <f t="shared" si="20"/>
        <v>0</v>
      </c>
      <c r="N36" s="133">
        <f>SUM(B36:M36)</f>
        <v>4430</v>
      </c>
      <c r="O36" s="103"/>
      <c r="P36" s="135">
        <f>SUM(P33:P35)</f>
        <v>0</v>
      </c>
      <c r="Q36" s="135">
        <f t="shared" ref="Q36:AA36" si="21">SUM(Q33:Q35)</f>
        <v>0</v>
      </c>
      <c r="R36" s="135">
        <f t="shared" si="21"/>
        <v>0</v>
      </c>
      <c r="S36" s="135">
        <f t="shared" si="21"/>
        <v>0</v>
      </c>
      <c r="T36" s="135">
        <f t="shared" si="21"/>
        <v>0</v>
      </c>
      <c r="U36" s="135">
        <f t="shared" si="21"/>
        <v>0</v>
      </c>
      <c r="V36" s="135">
        <f t="shared" si="21"/>
        <v>0</v>
      </c>
      <c r="W36" s="135">
        <f t="shared" si="21"/>
        <v>0</v>
      </c>
      <c r="X36" s="135">
        <f t="shared" si="21"/>
        <v>0</v>
      </c>
      <c r="Y36" s="135">
        <f t="shared" si="21"/>
        <v>0</v>
      </c>
      <c r="Z36" s="135">
        <f t="shared" si="21"/>
        <v>0</v>
      </c>
      <c r="AA36" s="135">
        <f t="shared" si="21"/>
        <v>9946</v>
      </c>
      <c r="AB36" s="142">
        <f>SUM(P36:AA36)</f>
        <v>9946</v>
      </c>
      <c r="AC36" s="103"/>
      <c r="AD36" s="132">
        <f>SUM(AD33:AD35)</f>
        <v>0</v>
      </c>
      <c r="AE36" s="132">
        <f t="shared" ref="AE36:AO36" si="22">SUM(AE33:AE35)</f>
        <v>0</v>
      </c>
      <c r="AF36" s="132">
        <f t="shared" si="22"/>
        <v>0</v>
      </c>
      <c r="AG36" s="132">
        <f t="shared" si="22"/>
        <v>0</v>
      </c>
      <c r="AH36" s="132">
        <f t="shared" si="22"/>
        <v>0</v>
      </c>
      <c r="AI36" s="132">
        <f t="shared" si="22"/>
        <v>0</v>
      </c>
      <c r="AJ36" s="132">
        <f t="shared" si="22"/>
        <v>0</v>
      </c>
      <c r="AK36" s="132">
        <f t="shared" si="22"/>
        <v>0</v>
      </c>
      <c r="AL36" s="132">
        <f t="shared" si="22"/>
        <v>0</v>
      </c>
      <c r="AM36" s="132">
        <f t="shared" si="22"/>
        <v>0</v>
      </c>
      <c r="AN36" s="132">
        <f t="shared" si="22"/>
        <v>0</v>
      </c>
      <c r="AO36" s="132">
        <f t="shared" si="22"/>
        <v>6978</v>
      </c>
      <c r="AP36" s="133">
        <f>SUM(AD36:AO36)</f>
        <v>6978</v>
      </c>
      <c r="AQ36" s="102"/>
      <c r="AR36" s="136">
        <f>AP36+AB36+N36</f>
        <v>21354</v>
      </c>
    </row>
    <row r="37" spans="1:44" s="102" customFormat="1" ht="15" thickBot="1">
      <c r="A37" s="138"/>
      <c r="B37" s="103"/>
      <c r="C37" s="103" t="s">
        <v>79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R37" s="103"/>
    </row>
    <row r="38" spans="1:44">
      <c r="A38" s="120" t="s">
        <v>51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2"/>
      <c r="O38" s="103"/>
      <c r="P38" s="164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39"/>
      <c r="AC38" s="103"/>
      <c r="AD38" s="165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2"/>
      <c r="AQ38" s="102"/>
      <c r="AR38" s="140"/>
    </row>
    <row r="39" spans="1:44">
      <c r="A39" s="95" t="s">
        <v>55</v>
      </c>
      <c r="B39" s="128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>
        <v>2500</v>
      </c>
      <c r="N39" s="125">
        <f>SUM(B39:M39)</f>
        <v>2500</v>
      </c>
      <c r="O39" s="103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>
        <v>2500</v>
      </c>
      <c r="AB39" s="124">
        <f>SUM(P39:AA39)</f>
        <v>2500</v>
      </c>
      <c r="AC39" s="103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>
        <v>2500</v>
      </c>
      <c r="AP39" s="125">
        <f>SUM(AD39:AO39)</f>
        <v>2500</v>
      </c>
      <c r="AQ39" s="102"/>
      <c r="AR39" s="126">
        <f>AP39+AB39+N39</f>
        <v>7500</v>
      </c>
    </row>
    <row r="40" spans="1:44">
      <c r="A40" s="141" t="s">
        <v>46</v>
      </c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5">
        <f>SUM(B40:M40)</f>
        <v>0</v>
      </c>
      <c r="O40" s="103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4">
        <f>SUM(P40:AA40)</f>
        <v>0</v>
      </c>
      <c r="AC40" s="103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5">
        <f>SUM(AD40:AO40)</f>
        <v>0</v>
      </c>
      <c r="AQ40" s="102"/>
      <c r="AR40" s="126">
        <f>AP40+AB40+N40</f>
        <v>0</v>
      </c>
    </row>
    <row r="41" spans="1:44">
      <c r="A41" s="141" t="s">
        <v>47</v>
      </c>
      <c r="B41" s="128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5">
        <f>SUM(B41:M41)</f>
        <v>0</v>
      </c>
      <c r="O41" s="103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4">
        <f>SUM(P41:AA41)</f>
        <v>0</v>
      </c>
      <c r="AC41" s="103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5">
        <f>SUM(AD41:AO41)</f>
        <v>0</v>
      </c>
      <c r="AQ41" s="102"/>
      <c r="AR41" s="126">
        <f>AP41+AB41+N41</f>
        <v>0</v>
      </c>
    </row>
    <row r="42" spans="1:44" ht="15" thickBot="1">
      <c r="A42" s="130" t="s">
        <v>45</v>
      </c>
      <c r="B42" s="131">
        <f>SUM(B39:B41)</f>
        <v>0</v>
      </c>
      <c r="C42" s="131">
        <f t="shared" ref="C42:M42" si="23">SUM(C39:C41)</f>
        <v>0</v>
      </c>
      <c r="D42" s="131">
        <f t="shared" si="23"/>
        <v>0</v>
      </c>
      <c r="E42" s="131">
        <f t="shared" si="23"/>
        <v>0</v>
      </c>
      <c r="F42" s="131">
        <f t="shared" si="23"/>
        <v>0</v>
      </c>
      <c r="G42" s="131">
        <f t="shared" si="23"/>
        <v>0</v>
      </c>
      <c r="H42" s="131">
        <f t="shared" si="23"/>
        <v>0</v>
      </c>
      <c r="I42" s="131">
        <f t="shared" si="23"/>
        <v>0</v>
      </c>
      <c r="J42" s="131">
        <f t="shared" si="23"/>
        <v>0</v>
      </c>
      <c r="K42" s="131">
        <f t="shared" si="23"/>
        <v>0</v>
      </c>
      <c r="L42" s="131">
        <f t="shared" si="23"/>
        <v>0</v>
      </c>
      <c r="M42" s="131">
        <f t="shared" si="23"/>
        <v>2500</v>
      </c>
      <c r="N42" s="133">
        <f>SUM(B42:M42)</f>
        <v>2500</v>
      </c>
      <c r="O42" s="103"/>
      <c r="P42" s="135">
        <f>SUM(P39:P41)</f>
        <v>0</v>
      </c>
      <c r="Q42" s="135">
        <f t="shared" ref="Q42:AA42" si="24">SUM(Q39:Q41)</f>
        <v>0</v>
      </c>
      <c r="R42" s="135">
        <f t="shared" si="24"/>
        <v>0</v>
      </c>
      <c r="S42" s="135">
        <f t="shared" si="24"/>
        <v>0</v>
      </c>
      <c r="T42" s="135">
        <f t="shared" si="24"/>
        <v>0</v>
      </c>
      <c r="U42" s="135">
        <f t="shared" si="24"/>
        <v>0</v>
      </c>
      <c r="V42" s="135">
        <f t="shared" si="24"/>
        <v>0</v>
      </c>
      <c r="W42" s="135">
        <f t="shared" si="24"/>
        <v>0</v>
      </c>
      <c r="X42" s="135">
        <f t="shared" si="24"/>
        <v>0</v>
      </c>
      <c r="Y42" s="135">
        <f t="shared" si="24"/>
        <v>0</v>
      </c>
      <c r="Z42" s="135">
        <f t="shared" si="24"/>
        <v>0</v>
      </c>
      <c r="AA42" s="135">
        <f t="shared" si="24"/>
        <v>2500</v>
      </c>
      <c r="AB42" s="142">
        <f>SUM(P42:AA42)</f>
        <v>2500</v>
      </c>
      <c r="AC42" s="103"/>
      <c r="AD42" s="132">
        <f>SUM(AD39:AD41)</f>
        <v>0</v>
      </c>
      <c r="AE42" s="132">
        <f t="shared" ref="AE42:AO42" si="25">SUM(AE39:AE41)</f>
        <v>0</v>
      </c>
      <c r="AF42" s="132">
        <f t="shared" si="25"/>
        <v>0</v>
      </c>
      <c r="AG42" s="132">
        <f t="shared" si="25"/>
        <v>0</v>
      </c>
      <c r="AH42" s="132">
        <f t="shared" si="25"/>
        <v>0</v>
      </c>
      <c r="AI42" s="132">
        <f t="shared" si="25"/>
        <v>0</v>
      </c>
      <c r="AJ42" s="132">
        <f t="shared" si="25"/>
        <v>0</v>
      </c>
      <c r="AK42" s="132">
        <f t="shared" si="25"/>
        <v>0</v>
      </c>
      <c r="AL42" s="132">
        <f t="shared" si="25"/>
        <v>0</v>
      </c>
      <c r="AM42" s="132">
        <f t="shared" si="25"/>
        <v>0</v>
      </c>
      <c r="AN42" s="132">
        <f t="shared" si="25"/>
        <v>0</v>
      </c>
      <c r="AO42" s="132">
        <f t="shared" si="25"/>
        <v>2500</v>
      </c>
      <c r="AP42" s="133">
        <f>SUM(AD42:AO42)</f>
        <v>2500</v>
      </c>
      <c r="AQ42" s="102"/>
      <c r="AR42" s="136">
        <f>AP42+AB42+N42</f>
        <v>7500</v>
      </c>
    </row>
    <row r="43" spans="1:44" s="102" customFormat="1" ht="15" thickBot="1">
      <c r="A43" s="138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R43" s="103"/>
    </row>
    <row r="44" spans="1:44">
      <c r="A44" s="120" t="s">
        <v>52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2"/>
      <c r="O44" s="103"/>
      <c r="P44" s="164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39"/>
      <c r="AC44" s="103"/>
      <c r="AD44" s="165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2"/>
      <c r="AQ44" s="102"/>
      <c r="AR44" s="140"/>
    </row>
    <row r="45" spans="1:44" ht="16">
      <c r="A45" s="141" t="s">
        <v>125</v>
      </c>
      <c r="B45" s="129">
        <f>0.2*(B18+B24+B36+B42)</f>
        <v>637.6</v>
      </c>
      <c r="C45" s="129">
        <f t="shared" ref="C45:M45" si="26">0.2*(C18+C24+C36+C42)</f>
        <v>727.6</v>
      </c>
      <c r="D45" s="129">
        <f t="shared" si="26"/>
        <v>737.6</v>
      </c>
      <c r="E45" s="129">
        <f t="shared" si="26"/>
        <v>627.6</v>
      </c>
      <c r="F45" s="129">
        <f t="shared" si="26"/>
        <v>482.6</v>
      </c>
      <c r="G45" s="129">
        <f t="shared" si="26"/>
        <v>447.6</v>
      </c>
      <c r="H45" s="129">
        <f t="shared" si="26"/>
        <v>477.40000000000003</v>
      </c>
      <c r="I45" s="129">
        <f t="shared" si="26"/>
        <v>338.40000000000003</v>
      </c>
      <c r="J45" s="129">
        <f t="shared" si="26"/>
        <v>467.40000000000003</v>
      </c>
      <c r="K45" s="129">
        <f t="shared" si="26"/>
        <v>537.4</v>
      </c>
      <c r="L45" s="129">
        <f t="shared" si="26"/>
        <v>482.40000000000003</v>
      </c>
      <c r="M45" s="129">
        <f t="shared" si="26"/>
        <v>972.40000000000009</v>
      </c>
      <c r="N45" s="125">
        <f>IF(SUM(B45:M45)&lt;=((N42+N36+N24+N18)*0.2),SUM(B45:M45),"villa")</f>
        <v>6935.9999999999982</v>
      </c>
      <c r="O45" s="103"/>
      <c r="P45" s="129">
        <f>0.2*(P18+P24+P36+P42)</f>
        <v>822.6</v>
      </c>
      <c r="Q45" s="129">
        <f t="shared" ref="Q45:AA45" si="27">0.2*(Q18+Q24+Q36+Q42)</f>
        <v>877.6</v>
      </c>
      <c r="R45" s="129">
        <f t="shared" si="27"/>
        <v>917.6</v>
      </c>
      <c r="S45" s="129">
        <f t="shared" si="27"/>
        <v>847.6</v>
      </c>
      <c r="T45" s="129">
        <f t="shared" si="27"/>
        <v>782.6</v>
      </c>
      <c r="U45" s="129">
        <f t="shared" si="27"/>
        <v>717.6</v>
      </c>
      <c r="V45" s="129">
        <f t="shared" si="27"/>
        <v>627.40000000000009</v>
      </c>
      <c r="W45" s="129">
        <f t="shared" si="27"/>
        <v>627.40000000000009</v>
      </c>
      <c r="X45" s="129">
        <f t="shared" si="27"/>
        <v>687.40000000000009</v>
      </c>
      <c r="Y45" s="129">
        <f t="shared" si="27"/>
        <v>687.40000000000009</v>
      </c>
      <c r="Z45" s="129">
        <f t="shared" si="27"/>
        <v>632.40000000000009</v>
      </c>
      <c r="AA45" s="129">
        <f t="shared" si="27"/>
        <v>3111.6000000000004</v>
      </c>
      <c r="AB45" s="124">
        <f>IF(SUM(P45:AA45)&lt;=((AB42+AB36+AB24+AB18)*0.2),SUM(P45:AA45),"villa")</f>
        <v>11339.199999999999</v>
      </c>
      <c r="AC45" s="103"/>
      <c r="AD45" s="129">
        <f>0.2*(AD18+AD24+AD36+AD42)</f>
        <v>972.6</v>
      </c>
      <c r="AE45" s="129">
        <f t="shared" ref="AE45:AO45" si="28">0.2*(AE18+AE24+AE36+AE42)</f>
        <v>1027.6000000000001</v>
      </c>
      <c r="AF45" s="129">
        <f t="shared" si="28"/>
        <v>1067.6000000000001</v>
      </c>
      <c r="AG45" s="129">
        <f t="shared" si="28"/>
        <v>997.6</v>
      </c>
      <c r="AH45" s="129">
        <f t="shared" si="28"/>
        <v>932.6</v>
      </c>
      <c r="AI45" s="129">
        <f t="shared" si="28"/>
        <v>867.6</v>
      </c>
      <c r="AJ45" s="129">
        <f t="shared" si="28"/>
        <v>777.40000000000009</v>
      </c>
      <c r="AK45" s="129">
        <f t="shared" si="28"/>
        <v>777.40000000000009</v>
      </c>
      <c r="AL45" s="129">
        <f t="shared" si="28"/>
        <v>837.40000000000009</v>
      </c>
      <c r="AM45" s="129">
        <f t="shared" si="28"/>
        <v>837.40000000000009</v>
      </c>
      <c r="AN45" s="129">
        <f t="shared" si="28"/>
        <v>782.40000000000009</v>
      </c>
      <c r="AO45" s="129">
        <f t="shared" si="28"/>
        <v>2668</v>
      </c>
      <c r="AP45" s="125">
        <f>IF(SUM(AD45:AO45)&lt;=((AP42+AP36+AP24+AP18)*0.2),SUM(AD45:AO45),"villa")</f>
        <v>12545.599999999999</v>
      </c>
      <c r="AQ45" s="102"/>
      <c r="AR45" s="126">
        <f>AP45+AB45+N45</f>
        <v>30820.799999999996</v>
      </c>
    </row>
    <row r="46" spans="1:44">
      <c r="A46" s="141" t="s">
        <v>44</v>
      </c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5">
        <f>SUM(B46:M46)</f>
        <v>0</v>
      </c>
      <c r="O46" s="103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4">
        <f>SUM(P46:AA46)</f>
        <v>0</v>
      </c>
      <c r="AC46" s="103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5">
        <f>SUM(AD46:AO46)</f>
        <v>0</v>
      </c>
      <c r="AQ46" s="102"/>
      <c r="AR46" s="126">
        <f>AP46+AB46+N46</f>
        <v>0</v>
      </c>
    </row>
    <row r="47" spans="1:44" ht="15" thickBot="1">
      <c r="A47" s="130" t="s">
        <v>45</v>
      </c>
      <c r="B47" s="131">
        <f>SUM(B45:B46)</f>
        <v>637.6</v>
      </c>
      <c r="C47" s="131">
        <f t="shared" ref="C47:M47" si="29">SUM(C45:C46)</f>
        <v>727.6</v>
      </c>
      <c r="D47" s="131">
        <f t="shared" si="29"/>
        <v>737.6</v>
      </c>
      <c r="E47" s="131">
        <f t="shared" si="29"/>
        <v>627.6</v>
      </c>
      <c r="F47" s="131">
        <f t="shared" si="29"/>
        <v>482.6</v>
      </c>
      <c r="G47" s="131">
        <f t="shared" si="29"/>
        <v>447.6</v>
      </c>
      <c r="H47" s="131">
        <f t="shared" si="29"/>
        <v>477.40000000000003</v>
      </c>
      <c r="I47" s="131">
        <f t="shared" si="29"/>
        <v>338.40000000000003</v>
      </c>
      <c r="J47" s="131">
        <f t="shared" si="29"/>
        <v>467.40000000000003</v>
      </c>
      <c r="K47" s="131">
        <f t="shared" si="29"/>
        <v>537.4</v>
      </c>
      <c r="L47" s="131">
        <f t="shared" si="29"/>
        <v>482.40000000000003</v>
      </c>
      <c r="M47" s="131">
        <f t="shared" si="29"/>
        <v>972.40000000000009</v>
      </c>
      <c r="N47" s="133">
        <f>SUM(B47:M47)</f>
        <v>6935.9999999999982</v>
      </c>
      <c r="O47" s="103"/>
      <c r="P47" s="135">
        <f>SUM(P45:P46)</f>
        <v>822.6</v>
      </c>
      <c r="Q47" s="134">
        <f t="shared" ref="Q47:AA47" si="30">SUM(Q45:Q46)</f>
        <v>877.6</v>
      </c>
      <c r="R47" s="134">
        <f t="shared" si="30"/>
        <v>917.6</v>
      </c>
      <c r="S47" s="134">
        <f t="shared" si="30"/>
        <v>847.6</v>
      </c>
      <c r="T47" s="134">
        <f t="shared" si="30"/>
        <v>782.6</v>
      </c>
      <c r="U47" s="134">
        <f t="shared" si="30"/>
        <v>717.6</v>
      </c>
      <c r="V47" s="134">
        <f t="shared" si="30"/>
        <v>627.40000000000009</v>
      </c>
      <c r="W47" s="134">
        <f t="shared" si="30"/>
        <v>627.40000000000009</v>
      </c>
      <c r="X47" s="134">
        <f t="shared" si="30"/>
        <v>687.40000000000009</v>
      </c>
      <c r="Y47" s="134">
        <f t="shared" si="30"/>
        <v>687.40000000000009</v>
      </c>
      <c r="Z47" s="134">
        <f t="shared" si="30"/>
        <v>632.40000000000009</v>
      </c>
      <c r="AA47" s="134">
        <f t="shared" si="30"/>
        <v>3111.6000000000004</v>
      </c>
      <c r="AB47" s="142">
        <f>SUM(P47:AA47)</f>
        <v>11339.199999999999</v>
      </c>
      <c r="AC47" s="103"/>
      <c r="AD47" s="132">
        <f>SUM(AD45:AD46)</f>
        <v>972.6</v>
      </c>
      <c r="AE47" s="131">
        <f t="shared" ref="AE47:AO47" si="31">SUM(AE45:AE46)</f>
        <v>1027.6000000000001</v>
      </c>
      <c r="AF47" s="131">
        <f t="shared" si="31"/>
        <v>1067.6000000000001</v>
      </c>
      <c r="AG47" s="131">
        <f t="shared" si="31"/>
        <v>997.6</v>
      </c>
      <c r="AH47" s="131">
        <f t="shared" si="31"/>
        <v>932.6</v>
      </c>
      <c r="AI47" s="131">
        <f t="shared" si="31"/>
        <v>867.6</v>
      </c>
      <c r="AJ47" s="131">
        <f t="shared" si="31"/>
        <v>777.40000000000009</v>
      </c>
      <c r="AK47" s="131">
        <f t="shared" si="31"/>
        <v>777.40000000000009</v>
      </c>
      <c r="AL47" s="131">
        <f t="shared" si="31"/>
        <v>837.40000000000009</v>
      </c>
      <c r="AM47" s="131">
        <f t="shared" si="31"/>
        <v>837.40000000000009</v>
      </c>
      <c r="AN47" s="131">
        <f t="shared" si="31"/>
        <v>782.40000000000009</v>
      </c>
      <c r="AO47" s="131">
        <f t="shared" si="31"/>
        <v>2668</v>
      </c>
      <c r="AP47" s="133">
        <f>SUM(AD47:AO47)</f>
        <v>12545.599999999999</v>
      </c>
      <c r="AQ47" s="102"/>
      <c r="AR47" s="136">
        <f>AP47+AB47+N47</f>
        <v>30820.799999999996</v>
      </c>
    </row>
    <row r="48" spans="1:44" s="102" customFormat="1">
      <c r="AC48" s="103"/>
    </row>
    <row r="49" spans="1:44" ht="15" thickBot="1">
      <c r="A49" s="144" t="s">
        <v>53</v>
      </c>
      <c r="B49" s="145">
        <f t="shared" ref="B49:M49" si="32">B18+B24+B30+B36+B42+B47</f>
        <v>4175.6000000000004</v>
      </c>
      <c r="C49" s="145">
        <f t="shared" si="32"/>
        <v>4365.6000000000004</v>
      </c>
      <c r="D49" s="145">
        <f t="shared" si="32"/>
        <v>4425.6000000000004</v>
      </c>
      <c r="E49" s="145">
        <f t="shared" si="32"/>
        <v>4615.6000000000004</v>
      </c>
      <c r="F49" s="145">
        <f t="shared" si="32"/>
        <v>2895.6</v>
      </c>
      <c r="G49" s="145">
        <f t="shared" si="32"/>
        <v>3150.6</v>
      </c>
      <c r="H49" s="145">
        <f t="shared" si="32"/>
        <v>3114.4</v>
      </c>
      <c r="I49" s="145">
        <f t="shared" si="32"/>
        <v>2030.4</v>
      </c>
      <c r="J49" s="145">
        <f t="shared" si="32"/>
        <v>2804.4</v>
      </c>
      <c r="K49" s="145">
        <f>K18+K24+K30+K36+K42+K47</f>
        <v>3474.4</v>
      </c>
      <c r="L49" s="145">
        <f t="shared" si="32"/>
        <v>2894.4</v>
      </c>
      <c r="M49" s="145">
        <f t="shared" si="32"/>
        <v>5834.4</v>
      </c>
      <c r="N49" s="145">
        <f>N18+N24+N30+N36+N42+N47</f>
        <v>43781</v>
      </c>
      <c r="O49" s="103"/>
      <c r="P49" s="145">
        <f t="shared" ref="P49:AB49" si="33">P18+P24+P30+P36+P42+P47</f>
        <v>4935.6000000000004</v>
      </c>
      <c r="Q49" s="145">
        <f t="shared" si="33"/>
        <v>5265.6</v>
      </c>
      <c r="R49" s="145">
        <f t="shared" si="33"/>
        <v>5505.6</v>
      </c>
      <c r="S49" s="145">
        <f t="shared" si="33"/>
        <v>5085.6000000000004</v>
      </c>
      <c r="T49" s="145">
        <f t="shared" si="33"/>
        <v>4695.6000000000004</v>
      </c>
      <c r="U49" s="145">
        <f t="shared" si="33"/>
        <v>4305.6000000000004</v>
      </c>
      <c r="V49" s="145">
        <f t="shared" si="33"/>
        <v>3764.4</v>
      </c>
      <c r="W49" s="145">
        <f t="shared" si="33"/>
        <v>3764.4</v>
      </c>
      <c r="X49" s="145">
        <f t="shared" si="33"/>
        <v>4124.3999999999996</v>
      </c>
      <c r="Y49" s="145">
        <f t="shared" si="33"/>
        <v>4124.3999999999996</v>
      </c>
      <c r="Z49" s="145">
        <f t="shared" si="33"/>
        <v>3794.4</v>
      </c>
      <c r="AA49" s="145">
        <f t="shared" si="33"/>
        <v>24669.599999999999</v>
      </c>
      <c r="AB49" s="145">
        <f t="shared" si="33"/>
        <v>74035.199999999997</v>
      </c>
      <c r="AC49" s="103"/>
      <c r="AD49" s="145">
        <f t="shared" ref="AD49:AP49" si="34">AD18+AD24+AD30+AD36+AD42+AD47</f>
        <v>5835.6</v>
      </c>
      <c r="AE49" s="145">
        <f t="shared" si="34"/>
        <v>6165.6</v>
      </c>
      <c r="AF49" s="145">
        <f t="shared" si="34"/>
        <v>6405.6</v>
      </c>
      <c r="AG49" s="145">
        <f t="shared" si="34"/>
        <v>5985.6</v>
      </c>
      <c r="AH49" s="145">
        <f t="shared" si="34"/>
        <v>5595.6</v>
      </c>
      <c r="AI49" s="145">
        <f t="shared" si="34"/>
        <v>5205.6000000000004</v>
      </c>
      <c r="AJ49" s="145">
        <f t="shared" si="34"/>
        <v>4664.3999999999996</v>
      </c>
      <c r="AK49" s="145">
        <f t="shared" si="34"/>
        <v>4664.3999999999996</v>
      </c>
      <c r="AL49" s="145">
        <f t="shared" si="34"/>
        <v>5024.3999999999996</v>
      </c>
      <c r="AM49" s="145">
        <f t="shared" si="34"/>
        <v>5024.3999999999996</v>
      </c>
      <c r="AN49" s="145">
        <f t="shared" si="34"/>
        <v>4694.3999999999996</v>
      </c>
      <c r="AO49" s="145">
        <f t="shared" si="34"/>
        <v>23073</v>
      </c>
      <c r="AP49" s="145">
        <f t="shared" si="34"/>
        <v>82338.600000000006</v>
      </c>
      <c r="AQ49" s="102"/>
      <c r="AR49" s="145">
        <f>AR18+AR24+AR30+AR36+AR42+AR47</f>
        <v>200154.8</v>
      </c>
    </row>
    <row r="50" spans="1:44" ht="15" thickTop="1"/>
    <row r="51" spans="1:44" ht="15" customHeight="1"/>
    <row r="52" spans="1:44" ht="15" customHeight="1">
      <c r="F52" s="147"/>
      <c r="M52" s="259" t="s">
        <v>107</v>
      </c>
      <c r="N52" s="259"/>
      <c r="O52" s="259"/>
      <c r="AA52" s="146"/>
      <c r="AC52" s="104"/>
    </row>
    <row r="53" spans="1:44" ht="15" customHeight="1">
      <c r="B53" s="148" t="s">
        <v>66</v>
      </c>
      <c r="D53" s="149"/>
      <c r="E53" s="246" t="s">
        <v>106</v>
      </c>
      <c r="F53" s="246"/>
      <c r="G53" s="258" t="s">
        <v>67</v>
      </c>
      <c r="H53" s="258"/>
      <c r="I53" s="258" t="s">
        <v>80</v>
      </c>
      <c r="J53" s="258"/>
      <c r="K53" s="258" t="s">
        <v>81</v>
      </c>
      <c r="L53" s="258"/>
      <c r="M53" s="150" t="s">
        <v>82</v>
      </c>
      <c r="N53" s="150" t="s">
        <v>83</v>
      </c>
      <c r="O53" s="150" t="s">
        <v>84</v>
      </c>
      <c r="Q53" s="53" t="s">
        <v>98</v>
      </c>
      <c r="R53" s="38"/>
      <c r="S53" s="39"/>
      <c r="T53" s="39"/>
      <c r="U53" s="39"/>
      <c r="V53" s="39"/>
      <c r="W53" s="39"/>
      <c r="X53" s="39"/>
      <c r="Y53" s="39"/>
      <c r="Z53" s="39"/>
      <c r="AC53" s="104"/>
    </row>
    <row r="54" spans="1:44" ht="16">
      <c r="B54" s="190" t="s">
        <v>136</v>
      </c>
      <c r="C54" s="199"/>
      <c r="D54" s="152"/>
      <c r="E54" s="230" t="s">
        <v>172</v>
      </c>
      <c r="F54" s="230"/>
      <c r="G54" s="230">
        <v>750</v>
      </c>
      <c r="H54" s="230"/>
      <c r="I54" s="231">
        <v>0.25</v>
      </c>
      <c r="J54" s="231"/>
      <c r="K54" s="230">
        <f t="shared" ref="K54:K60" si="35">G54*I54</f>
        <v>187.5</v>
      </c>
      <c r="L54" s="230"/>
      <c r="M54" s="191">
        <f t="shared" ref="M54:M60" si="36">IF(G54=0,0,N7/G54)</f>
        <v>3</v>
      </c>
      <c r="N54" s="191">
        <f>IF(G54=0,0,AB7/G54)</f>
        <v>3</v>
      </c>
      <c r="O54" s="192">
        <f>IF(G54=0,0,AP7/G54)</f>
        <v>3</v>
      </c>
      <c r="Q54" s="235" t="s">
        <v>114</v>
      </c>
      <c r="R54" s="235"/>
      <c r="S54" s="235"/>
      <c r="T54" s="235"/>
      <c r="U54" s="235"/>
      <c r="V54" s="235"/>
      <c r="W54" s="235"/>
      <c r="X54" s="235"/>
      <c r="Y54" s="235"/>
      <c r="Z54" s="235"/>
      <c r="AC54" s="104"/>
    </row>
    <row r="55" spans="1:44" ht="17.25" customHeight="1">
      <c r="B55" s="193" t="s">
        <v>170</v>
      </c>
      <c r="C55" s="200"/>
      <c r="D55" s="155"/>
      <c r="E55" s="232" t="s">
        <v>154</v>
      </c>
      <c r="F55" s="232"/>
      <c r="G55" s="232">
        <v>750</v>
      </c>
      <c r="H55" s="232"/>
      <c r="I55" s="233">
        <v>0.41670000000000001</v>
      </c>
      <c r="J55" s="233"/>
      <c r="K55" s="232">
        <f t="shared" si="35"/>
        <v>312.52500000000003</v>
      </c>
      <c r="L55" s="232"/>
      <c r="M55" s="194">
        <f t="shared" si="36"/>
        <v>5</v>
      </c>
      <c r="N55" s="194">
        <f t="shared" ref="N55:N60" si="37">IF(G55=0,0,AB8/G55)</f>
        <v>5</v>
      </c>
      <c r="O55" s="195">
        <f t="shared" ref="O55:O60" si="38">IF(G55=0,0,AP8/G55)</f>
        <v>5</v>
      </c>
      <c r="Q55" s="234" t="s">
        <v>126</v>
      </c>
      <c r="R55" s="234"/>
      <c r="S55" s="234"/>
      <c r="T55" s="234"/>
      <c r="U55" s="234"/>
      <c r="V55" s="234"/>
      <c r="W55" s="234"/>
      <c r="X55" s="234"/>
      <c r="Y55" s="234"/>
      <c r="Z55" s="234"/>
      <c r="AC55" s="104"/>
    </row>
    <row r="56" spans="1:44">
      <c r="B56" s="193" t="s">
        <v>155</v>
      </c>
      <c r="C56" s="200"/>
      <c r="D56" s="155"/>
      <c r="E56" s="232" t="s">
        <v>156</v>
      </c>
      <c r="F56" s="232"/>
      <c r="G56" s="232">
        <v>750</v>
      </c>
      <c r="H56" s="232"/>
      <c r="I56" s="233">
        <v>0.5</v>
      </c>
      <c r="J56" s="233"/>
      <c r="K56" s="232">
        <f t="shared" si="35"/>
        <v>375</v>
      </c>
      <c r="L56" s="232"/>
      <c r="M56" s="194">
        <f t="shared" si="36"/>
        <v>6</v>
      </c>
      <c r="N56" s="194">
        <f t="shared" si="37"/>
        <v>6</v>
      </c>
      <c r="O56" s="195">
        <f t="shared" si="38"/>
        <v>6</v>
      </c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C56" s="104"/>
    </row>
    <row r="57" spans="1:44">
      <c r="B57" s="193" t="s">
        <v>167</v>
      </c>
      <c r="C57" s="200"/>
      <c r="D57" s="155"/>
      <c r="E57" s="232" t="s">
        <v>176</v>
      </c>
      <c r="F57" s="232"/>
      <c r="G57" s="232">
        <v>750</v>
      </c>
      <c r="H57" s="232"/>
      <c r="I57" s="233">
        <v>0.91669999999999996</v>
      </c>
      <c r="J57" s="233"/>
      <c r="K57" s="232">
        <f t="shared" si="35"/>
        <v>687.52499999999998</v>
      </c>
      <c r="L57" s="232"/>
      <c r="M57" s="194">
        <f t="shared" si="36"/>
        <v>11</v>
      </c>
      <c r="N57" s="194">
        <f t="shared" si="37"/>
        <v>12</v>
      </c>
      <c r="O57" s="195">
        <f t="shared" si="38"/>
        <v>12</v>
      </c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C57" s="104"/>
    </row>
    <row r="58" spans="1:44">
      <c r="B58" s="193" t="s">
        <v>173</v>
      </c>
      <c r="C58" s="200"/>
      <c r="D58" s="155"/>
      <c r="E58" s="232" t="s">
        <v>177</v>
      </c>
      <c r="F58" s="232"/>
      <c r="G58" s="232">
        <v>750</v>
      </c>
      <c r="H58" s="232"/>
      <c r="I58" s="233">
        <v>0.25</v>
      </c>
      <c r="J58" s="233"/>
      <c r="K58" s="232">
        <f t="shared" si="35"/>
        <v>187.5</v>
      </c>
      <c r="L58" s="232"/>
      <c r="M58" s="194">
        <f t="shared" si="36"/>
        <v>3</v>
      </c>
      <c r="N58" s="194">
        <f t="shared" si="37"/>
        <v>12</v>
      </c>
      <c r="O58" s="195">
        <f t="shared" si="38"/>
        <v>12</v>
      </c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C58" s="104"/>
    </row>
    <row r="59" spans="1:44">
      <c r="B59" s="193" t="s">
        <v>157</v>
      </c>
      <c r="C59" s="200"/>
      <c r="D59" s="155"/>
      <c r="E59" s="232" t="s">
        <v>158</v>
      </c>
      <c r="F59" s="232"/>
      <c r="G59" s="232">
        <v>750</v>
      </c>
      <c r="H59" s="232"/>
      <c r="I59" s="233">
        <v>0.16669999999999999</v>
      </c>
      <c r="J59" s="233"/>
      <c r="K59" s="232">
        <f t="shared" si="35"/>
        <v>125.02499999999999</v>
      </c>
      <c r="L59" s="232"/>
      <c r="M59" s="194">
        <f t="shared" si="36"/>
        <v>2</v>
      </c>
      <c r="N59" s="194">
        <f t="shared" si="37"/>
        <v>2</v>
      </c>
      <c r="O59" s="195">
        <f t="shared" si="38"/>
        <v>2</v>
      </c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C59" s="104"/>
    </row>
    <row r="60" spans="1:44">
      <c r="B60" s="193" t="s">
        <v>171</v>
      </c>
      <c r="C60" s="200"/>
      <c r="D60" s="155"/>
      <c r="E60" s="232" t="s">
        <v>159</v>
      </c>
      <c r="F60" s="232"/>
      <c r="G60" s="232">
        <v>750</v>
      </c>
      <c r="H60" s="232"/>
      <c r="I60" s="233">
        <v>0.25</v>
      </c>
      <c r="J60" s="233"/>
      <c r="K60" s="232">
        <f t="shared" si="35"/>
        <v>187.5</v>
      </c>
      <c r="L60" s="232"/>
      <c r="M60" s="194">
        <f t="shared" si="36"/>
        <v>3</v>
      </c>
      <c r="N60" s="194">
        <f t="shared" si="37"/>
        <v>3</v>
      </c>
      <c r="O60" s="195">
        <f t="shared" si="38"/>
        <v>3</v>
      </c>
      <c r="Z60" s="146"/>
      <c r="AC60" s="104"/>
    </row>
    <row r="61" spans="1:44">
      <c r="B61" s="203" t="s">
        <v>175</v>
      </c>
      <c r="C61" s="204"/>
      <c r="D61" s="155"/>
      <c r="E61" s="232" t="s">
        <v>178</v>
      </c>
      <c r="F61" s="232"/>
      <c r="G61" s="232">
        <v>750</v>
      </c>
      <c r="H61" s="232"/>
      <c r="I61" s="233">
        <v>0</v>
      </c>
      <c r="J61" s="233"/>
      <c r="K61" s="232">
        <f t="shared" ref="K61:K62" si="39">G61*I61</f>
        <v>0</v>
      </c>
      <c r="L61" s="232"/>
      <c r="M61" s="194">
        <f>IF(G61=0,0,N16/G61)</f>
        <v>0</v>
      </c>
      <c r="N61" s="194">
        <f>IF(G61=0,0,AB16/G61)</f>
        <v>12</v>
      </c>
      <c r="O61" s="195">
        <f>IF(G61=0,0,AP16/G61)</f>
        <v>12</v>
      </c>
      <c r="Z61" s="146"/>
      <c r="AC61" s="104"/>
    </row>
    <row r="62" spans="1:44">
      <c r="B62" s="203" t="s">
        <v>168</v>
      </c>
      <c r="C62" s="204"/>
      <c r="D62" s="155"/>
      <c r="E62" s="232" t="s">
        <v>179</v>
      </c>
      <c r="F62" s="232"/>
      <c r="G62" s="232">
        <v>750</v>
      </c>
      <c r="H62" s="232"/>
      <c r="I62" s="233">
        <v>0</v>
      </c>
      <c r="J62" s="233"/>
      <c r="K62" s="232">
        <f t="shared" si="39"/>
        <v>0</v>
      </c>
      <c r="L62" s="232"/>
      <c r="M62" s="194">
        <f>IF(G62=0,0,N17/G62)</f>
        <v>0</v>
      </c>
      <c r="N62" s="194">
        <f>IF(G62=0,0,AB17/G62)</f>
        <v>0</v>
      </c>
      <c r="O62" s="195">
        <f>IF(G62=0,0,AP17/G62)</f>
        <v>12</v>
      </c>
      <c r="Z62" s="146"/>
      <c r="AC62" s="104"/>
    </row>
    <row r="63" spans="1:44">
      <c r="B63" s="196" t="s">
        <v>103</v>
      </c>
      <c r="C63" s="197"/>
      <c r="D63" s="197"/>
      <c r="E63" s="240"/>
      <c r="F63" s="240"/>
      <c r="G63" s="201"/>
      <c r="H63" s="196"/>
      <c r="I63" s="202"/>
      <c r="J63" s="196"/>
      <c r="K63" s="201"/>
      <c r="L63" s="196"/>
      <c r="M63" s="198">
        <f>SUM(M54:M62)</f>
        <v>33</v>
      </c>
      <c r="N63" s="198">
        <f t="shared" ref="N63:O63" si="40">SUM(N54:N62)</f>
        <v>55</v>
      </c>
      <c r="O63" s="198">
        <f t="shared" si="40"/>
        <v>67</v>
      </c>
      <c r="Z63" s="146"/>
      <c r="AC63" s="104"/>
    </row>
    <row r="64" spans="1:44">
      <c r="B64" s="162" t="s">
        <v>160</v>
      </c>
      <c r="C64" s="151"/>
      <c r="D64" s="152"/>
      <c r="E64" s="226" t="s">
        <v>161</v>
      </c>
      <c r="F64" s="227"/>
      <c r="G64" s="226">
        <v>250</v>
      </c>
      <c r="H64" s="227"/>
      <c r="I64" s="228">
        <v>0.5</v>
      </c>
      <c r="J64" s="229"/>
      <c r="K64" s="226">
        <f>G64*I64</f>
        <v>125</v>
      </c>
      <c r="L64" s="227"/>
      <c r="M64" s="153">
        <f>IF(G64=0,0,N14/G64)</f>
        <v>6</v>
      </c>
      <c r="N64" s="153">
        <f>IF(G64=0,0,AB14/G64)</f>
        <v>6</v>
      </c>
      <c r="O64" s="153">
        <f>IF(G64=0,0,AP14/G64)</f>
        <v>6</v>
      </c>
      <c r="Z64" s="146"/>
      <c r="AC64" s="104"/>
    </row>
    <row r="65" spans="2:29">
      <c r="B65" s="163" t="s">
        <v>162</v>
      </c>
      <c r="C65" s="154"/>
      <c r="D65" s="155"/>
      <c r="E65" s="236" t="s">
        <v>163</v>
      </c>
      <c r="F65" s="237"/>
      <c r="G65" s="236">
        <v>250</v>
      </c>
      <c r="H65" s="237"/>
      <c r="I65" s="241">
        <v>0.5</v>
      </c>
      <c r="J65" s="242"/>
      <c r="K65" s="236">
        <f>G65*I65</f>
        <v>125</v>
      </c>
      <c r="L65" s="237"/>
      <c r="M65" s="153">
        <f>IF(G65=0,0,N15/G65)</f>
        <v>6</v>
      </c>
      <c r="N65" s="153">
        <f>IF(G65=0,0,AB15/G65)</f>
        <v>6</v>
      </c>
      <c r="O65" s="153">
        <f>IF(G65=0,0,AP15/G65)</f>
        <v>6</v>
      </c>
      <c r="Z65" s="146"/>
      <c r="AC65" s="104"/>
    </row>
    <row r="66" spans="2:29">
      <c r="B66" s="163" t="s">
        <v>43</v>
      </c>
      <c r="C66" s="154"/>
      <c r="D66" s="155"/>
      <c r="E66" s="236"/>
      <c r="F66" s="237"/>
      <c r="G66" s="236"/>
      <c r="H66" s="237"/>
      <c r="I66" s="241"/>
      <c r="J66" s="242"/>
      <c r="K66" s="236">
        <f>G66*I66</f>
        <v>0</v>
      </c>
      <c r="L66" s="237"/>
      <c r="M66" s="153">
        <f>IF(G66=0,0,N16/G66)</f>
        <v>0</v>
      </c>
      <c r="N66" s="153">
        <f>IF(G66=0,0,AB12/G66)</f>
        <v>0</v>
      </c>
      <c r="O66" s="153">
        <f>IF(G66=0,0,AP12/G66)</f>
        <v>0</v>
      </c>
    </row>
    <row r="67" spans="2:29">
      <c r="B67" s="156" t="s">
        <v>104</v>
      </c>
      <c r="C67" s="156"/>
      <c r="D67" s="156"/>
      <c r="E67" s="238"/>
      <c r="F67" s="239"/>
      <c r="G67" s="156"/>
      <c r="H67" s="156"/>
      <c r="I67" s="157"/>
      <c r="J67" s="156"/>
      <c r="K67" s="156"/>
      <c r="L67" s="156"/>
      <c r="M67" s="158">
        <f>SUM(M64:M66)</f>
        <v>12</v>
      </c>
      <c r="N67" s="158">
        <f t="shared" ref="N67:O67" si="41">SUM(N64:N66)</f>
        <v>12</v>
      </c>
      <c r="O67" s="158">
        <f t="shared" si="41"/>
        <v>12</v>
      </c>
    </row>
    <row r="68" spans="2:29">
      <c r="B68" s="162" t="s">
        <v>44</v>
      </c>
      <c r="C68" s="151"/>
      <c r="D68" s="152"/>
      <c r="E68" s="226"/>
      <c r="F68" s="227"/>
      <c r="G68" s="226"/>
      <c r="H68" s="227"/>
      <c r="I68" s="228"/>
      <c r="J68" s="229"/>
      <c r="K68" s="226">
        <f>G68*I68</f>
        <v>0</v>
      </c>
      <c r="L68" s="227"/>
      <c r="M68" s="153">
        <f>IF(G68=0,0,N13/G68)</f>
        <v>0</v>
      </c>
      <c r="N68" s="153">
        <f>IF(G68=0,0,AB13/G68)</f>
        <v>0</v>
      </c>
      <c r="O68" s="153">
        <f>IF(G68=0,0,AP13/G68)</f>
        <v>0</v>
      </c>
    </row>
    <row r="69" spans="2:29">
      <c r="B69" s="163" t="s">
        <v>44</v>
      </c>
      <c r="C69" s="154"/>
      <c r="D69" s="155"/>
      <c r="E69" s="236"/>
      <c r="F69" s="237"/>
      <c r="G69" s="236"/>
      <c r="H69" s="237"/>
      <c r="I69" s="241"/>
      <c r="J69" s="242"/>
      <c r="K69" s="236">
        <f>G69*I69</f>
        <v>0</v>
      </c>
      <c r="L69" s="237"/>
      <c r="M69" s="153">
        <f>IF(G69=0,0,N14/G69)</f>
        <v>0</v>
      </c>
      <c r="N69" s="153">
        <f>IF(G69=0,0,AB14/G69)</f>
        <v>0</v>
      </c>
      <c r="O69" s="153">
        <f>IF(G69=0,0,AP14/G69)</f>
        <v>0</v>
      </c>
    </row>
    <row r="70" spans="2:29">
      <c r="B70" s="163" t="s">
        <v>44</v>
      </c>
      <c r="C70" s="154"/>
      <c r="D70" s="155"/>
      <c r="E70" s="236"/>
      <c r="F70" s="237"/>
      <c r="G70" s="236"/>
      <c r="H70" s="237"/>
      <c r="I70" s="241"/>
      <c r="J70" s="242"/>
      <c r="K70" s="236">
        <f>G70*I70</f>
        <v>0</v>
      </c>
      <c r="L70" s="237"/>
      <c r="M70" s="153">
        <f>IF(G70=0,0,N15/G70)</f>
        <v>0</v>
      </c>
      <c r="N70" s="153">
        <f>IF(G70=0,0,AB15/G70)</f>
        <v>0</v>
      </c>
      <c r="O70" s="153">
        <f>IF(G70=0,0,AP15/G70)</f>
        <v>0</v>
      </c>
    </row>
    <row r="71" spans="2:29">
      <c r="B71" s="156" t="s">
        <v>105</v>
      </c>
      <c r="C71" s="156"/>
      <c r="D71" s="156"/>
      <c r="E71" s="238"/>
      <c r="F71" s="239"/>
      <c r="G71" s="156"/>
      <c r="H71" s="156"/>
      <c r="I71" s="156"/>
      <c r="J71" s="156"/>
      <c r="K71" s="156"/>
      <c r="L71" s="156"/>
      <c r="M71" s="158">
        <f>SUM(M68:M70)</f>
        <v>0</v>
      </c>
      <c r="N71" s="158">
        <f t="shared" ref="N71:O71" si="42">SUM(N68:N70)</f>
        <v>0</v>
      </c>
      <c r="O71" s="158">
        <f t="shared" si="42"/>
        <v>0</v>
      </c>
    </row>
  </sheetData>
  <mergeCells count="79">
    <mergeCell ref="AR3:AR5"/>
    <mergeCell ref="E53:F53"/>
    <mergeCell ref="AD4:AO4"/>
    <mergeCell ref="A3:A5"/>
    <mergeCell ref="B3:M3"/>
    <mergeCell ref="P3:AA3"/>
    <mergeCell ref="AD3:AO3"/>
    <mergeCell ref="G53:H53"/>
    <mergeCell ref="I53:J53"/>
    <mergeCell ref="K53:L53"/>
    <mergeCell ref="M52:O52"/>
    <mergeCell ref="B4:M4"/>
    <mergeCell ref="P4:AA4"/>
    <mergeCell ref="G69:H69"/>
    <mergeCell ref="I69:J69"/>
    <mergeCell ref="K69:L69"/>
    <mergeCell ref="G65:H65"/>
    <mergeCell ref="I65:J65"/>
    <mergeCell ref="K65:L65"/>
    <mergeCell ref="G66:H66"/>
    <mergeCell ref="I66:J66"/>
    <mergeCell ref="K66:L66"/>
    <mergeCell ref="G68:H68"/>
    <mergeCell ref="I68:J68"/>
    <mergeCell ref="K68:L68"/>
    <mergeCell ref="Q54:Z54"/>
    <mergeCell ref="Q57:Z59"/>
    <mergeCell ref="E70:F70"/>
    <mergeCell ref="E71:F71"/>
    <mergeCell ref="E65:F65"/>
    <mergeCell ref="E66:F66"/>
    <mergeCell ref="E67:F67"/>
    <mergeCell ref="E68:F68"/>
    <mergeCell ref="E69:F69"/>
    <mergeCell ref="E57:F57"/>
    <mergeCell ref="E58:F58"/>
    <mergeCell ref="E60:F60"/>
    <mergeCell ref="E63:F63"/>
    <mergeCell ref="G70:H70"/>
    <mergeCell ref="I70:J70"/>
    <mergeCell ref="K70:L70"/>
    <mergeCell ref="E62:F62"/>
    <mergeCell ref="G62:H62"/>
    <mergeCell ref="I62:J62"/>
    <mergeCell ref="K62:L62"/>
    <mergeCell ref="Q55:Z56"/>
    <mergeCell ref="G60:H60"/>
    <mergeCell ref="I60:J60"/>
    <mergeCell ref="K60:L60"/>
    <mergeCell ref="G57:H57"/>
    <mergeCell ref="I57:J57"/>
    <mergeCell ref="K57:L57"/>
    <mergeCell ref="G58:H58"/>
    <mergeCell ref="I58:J58"/>
    <mergeCell ref="K58:L58"/>
    <mergeCell ref="E59:F59"/>
    <mergeCell ref="G59:H59"/>
    <mergeCell ref="I59:J59"/>
    <mergeCell ref="K59:L59"/>
    <mergeCell ref="E61:F61"/>
    <mergeCell ref="G61:H61"/>
    <mergeCell ref="I61:J61"/>
    <mergeCell ref="K61:L61"/>
    <mergeCell ref="E64:F64"/>
    <mergeCell ref="G64:H64"/>
    <mergeCell ref="I64:J64"/>
    <mergeCell ref="K64:L64"/>
    <mergeCell ref="E54:F54"/>
    <mergeCell ref="G54:H54"/>
    <mergeCell ref="I54:J54"/>
    <mergeCell ref="K54:L54"/>
    <mergeCell ref="E55:F55"/>
    <mergeCell ref="G55:H55"/>
    <mergeCell ref="I55:J55"/>
    <mergeCell ref="K55:L55"/>
    <mergeCell ref="E56:F56"/>
    <mergeCell ref="G56:H56"/>
    <mergeCell ref="I56:J56"/>
    <mergeCell ref="K56:L56"/>
  </mergeCells>
  <dataValidations count="2">
    <dataValidation type="whole" allowBlank="1" showInputMessage="1" showErrorMessage="1" errorTitle="Sláðu inn í þúsundum króna" error="Sláðu inn í þúsundum króna._x000a_" sqref="P16:AA16 AD16:AO16">
      <formula1>0</formula1>
      <formula2>1200</formula2>
    </dataValidation>
    <dataValidation type="whole" allowBlank="1" showInputMessage="1" showErrorMessage="1" errorTitle="Slá inn í þúsundum króna" error="Sláðu inn í þúsundum króna. " sqref="B7:M10 P12:AA15 P7:AA10 B12:M16 AD12:AO15 AD7:AO10">
      <formula1>0</formula1>
      <formula2>1200</formula2>
    </dataValidation>
  </dataValidations>
  <pageMargins left="0.25" right="0.25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tabSelected="1" workbookViewId="0">
      <selection activeCell="E23" sqref="E23"/>
    </sheetView>
  </sheetViews>
  <sheetFormatPr baseColWidth="10" defaultColWidth="8.83203125" defaultRowHeight="14" outlineLevelCol="1" x14ac:dyDescent="0"/>
  <cols>
    <col min="1" max="1" width="1.5" customWidth="1"/>
    <col min="2" max="2" width="12.6640625" customWidth="1"/>
    <col min="4" max="4" width="9.5" customWidth="1"/>
    <col min="5" max="7" width="8.6640625" customWidth="1"/>
    <col min="8" max="12" width="8.6640625" hidden="1" customWidth="1" outlineLevel="1"/>
    <col min="13" max="13" width="8.6640625" customWidth="1" collapsed="1"/>
    <col min="14" max="15" width="8.6640625" customWidth="1"/>
  </cols>
  <sheetData>
    <row r="1" spans="1:19" ht="15" thickBo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>
      <c r="A2" s="34"/>
      <c r="B2" s="277" t="s">
        <v>124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9"/>
      <c r="P2" s="34"/>
      <c r="Q2" s="34"/>
      <c r="R2" s="34"/>
      <c r="S2" s="34"/>
    </row>
    <row r="3" spans="1:19">
      <c r="A3" s="34"/>
      <c r="B3" s="280" t="s">
        <v>0</v>
      </c>
      <c r="C3" s="264"/>
      <c r="D3" s="281" t="s">
        <v>21</v>
      </c>
      <c r="E3" s="281" t="s">
        <v>1</v>
      </c>
      <c r="F3" s="281" t="s">
        <v>2</v>
      </c>
      <c r="G3" s="281" t="s">
        <v>3</v>
      </c>
      <c r="H3" s="281" t="s">
        <v>4</v>
      </c>
      <c r="I3" s="281" t="s">
        <v>26</v>
      </c>
      <c r="J3" s="281" t="s">
        <v>34</v>
      </c>
      <c r="K3" s="281" t="s">
        <v>35</v>
      </c>
      <c r="L3" s="281" t="s">
        <v>36</v>
      </c>
      <c r="M3" s="283" t="s">
        <v>5</v>
      </c>
      <c r="N3" s="284" t="s">
        <v>24</v>
      </c>
      <c r="O3" s="285"/>
      <c r="P3" s="34"/>
      <c r="Q3" s="34"/>
      <c r="R3" s="34"/>
      <c r="S3" s="34"/>
    </row>
    <row r="4" spans="1:19">
      <c r="A4" s="34"/>
      <c r="B4" s="288" t="s">
        <v>7</v>
      </c>
      <c r="C4" s="264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6"/>
      <c r="O4" s="287"/>
      <c r="P4" s="34"/>
      <c r="Q4" s="34"/>
      <c r="R4" s="34"/>
      <c r="S4" s="34"/>
    </row>
    <row r="5" spans="1:19">
      <c r="A5" s="34"/>
      <c r="B5" s="263" t="s">
        <v>28</v>
      </c>
      <c r="C5" s="264"/>
      <c r="D5" s="6" t="s">
        <v>79</v>
      </c>
      <c r="E5" s="6" t="s">
        <v>138</v>
      </c>
      <c r="F5" s="6" t="s">
        <v>139</v>
      </c>
      <c r="G5" s="6" t="s">
        <v>140</v>
      </c>
      <c r="H5" s="6"/>
      <c r="I5" s="6"/>
      <c r="J5" s="6"/>
      <c r="K5" s="6"/>
      <c r="L5" s="6"/>
      <c r="M5" s="11" t="s">
        <v>22</v>
      </c>
      <c r="N5" s="11" t="s">
        <v>129</v>
      </c>
      <c r="O5" s="12" t="s">
        <v>134</v>
      </c>
      <c r="P5" s="34"/>
      <c r="Q5" s="34"/>
      <c r="R5" s="34"/>
      <c r="S5" s="34"/>
    </row>
    <row r="6" spans="1:19">
      <c r="A6" s="34"/>
      <c r="B6" s="265" t="s">
        <v>8</v>
      </c>
      <c r="C6" s="264"/>
      <c r="D6" s="3"/>
      <c r="E6" s="3">
        <v>24000</v>
      </c>
      <c r="F6" s="3">
        <v>2250</v>
      </c>
      <c r="G6" s="3">
        <v>1500</v>
      </c>
      <c r="H6" s="3"/>
      <c r="I6" s="3"/>
      <c r="J6" s="3"/>
      <c r="K6" s="3"/>
      <c r="L6" s="3"/>
      <c r="M6" s="13">
        <f t="shared" ref="M6:M11" si="0">SUM(D6:L6)</f>
        <v>27750</v>
      </c>
      <c r="N6" s="14">
        <f>'Kostnaður verkáætlunar'!AB18</f>
        <v>44250</v>
      </c>
      <c r="O6" s="15">
        <f>'Kostnaður verkáætlunar'!AP18</f>
        <v>53250</v>
      </c>
      <c r="P6" s="34"/>
      <c r="Q6" s="34"/>
      <c r="R6" s="34"/>
      <c r="S6" s="34"/>
    </row>
    <row r="7" spans="1:19">
      <c r="A7" s="34"/>
      <c r="B7" s="265" t="s">
        <v>9</v>
      </c>
      <c r="C7" s="264"/>
      <c r="D7" s="3"/>
      <c r="E7" s="3">
        <v>0</v>
      </c>
      <c r="F7" s="3">
        <v>0</v>
      </c>
      <c r="G7" s="3">
        <v>0</v>
      </c>
      <c r="H7" s="3"/>
      <c r="I7" s="3"/>
      <c r="J7" s="3"/>
      <c r="K7" s="3"/>
      <c r="L7" s="3"/>
      <c r="M7" s="13">
        <f t="shared" si="0"/>
        <v>0</v>
      </c>
      <c r="N7" s="14">
        <f>'Kostnaður verkáætlunar'!AB24</f>
        <v>0</v>
      </c>
      <c r="O7" s="15">
        <f>'Kostnaður verkáætlunar'!AP24</f>
        <v>0</v>
      </c>
      <c r="P7" s="34"/>
      <c r="Q7" s="34"/>
      <c r="R7" s="34"/>
      <c r="S7" s="34"/>
    </row>
    <row r="8" spans="1:19">
      <c r="A8" s="34"/>
      <c r="B8" s="265" t="s">
        <v>10</v>
      </c>
      <c r="C8" s="264"/>
      <c r="D8" s="3"/>
      <c r="E8" s="3">
        <v>2165</v>
      </c>
      <c r="F8" s="3"/>
      <c r="G8" s="3"/>
      <c r="H8" s="3"/>
      <c r="I8" s="3"/>
      <c r="J8" s="3"/>
      <c r="K8" s="3"/>
      <c r="L8" s="3"/>
      <c r="M8" s="13">
        <f t="shared" si="0"/>
        <v>2165</v>
      </c>
      <c r="N8" s="14">
        <f>'Kostnaður verkáætlunar'!AB30</f>
        <v>6000</v>
      </c>
      <c r="O8" s="15">
        <f>'Kostnaður verkáætlunar'!AP30</f>
        <v>7065</v>
      </c>
      <c r="P8" s="34"/>
      <c r="Q8" s="34"/>
      <c r="R8" s="34"/>
      <c r="S8" s="34"/>
    </row>
    <row r="9" spans="1:19">
      <c r="A9" s="34"/>
      <c r="B9" s="265" t="s">
        <v>11</v>
      </c>
      <c r="C9" s="264"/>
      <c r="D9" s="3"/>
      <c r="E9" s="3">
        <v>4430</v>
      </c>
      <c r="F9" s="3"/>
      <c r="G9" s="3"/>
      <c r="H9" s="3"/>
      <c r="I9" s="3"/>
      <c r="J9" s="3"/>
      <c r="K9" s="3"/>
      <c r="L9" s="3"/>
      <c r="M9" s="13">
        <f t="shared" si="0"/>
        <v>4430</v>
      </c>
      <c r="N9" s="14">
        <f>'Kostnaður verkáætlunar'!AB36</f>
        <v>9946</v>
      </c>
      <c r="O9" s="15">
        <f>'Kostnaður verkáætlunar'!AP36</f>
        <v>6978</v>
      </c>
      <c r="P9" s="34"/>
      <c r="Q9" s="34"/>
      <c r="R9" s="34"/>
      <c r="S9" s="34"/>
    </row>
    <row r="10" spans="1:19">
      <c r="A10" s="34"/>
      <c r="B10" s="265" t="s">
        <v>19</v>
      </c>
      <c r="C10" s="264"/>
      <c r="D10" s="3"/>
      <c r="E10" s="3">
        <v>2500</v>
      </c>
      <c r="F10" s="3"/>
      <c r="G10" s="3"/>
      <c r="H10" s="3"/>
      <c r="I10" s="3"/>
      <c r="J10" s="3"/>
      <c r="K10" s="3"/>
      <c r="L10" s="3"/>
      <c r="M10" s="13">
        <f t="shared" si="0"/>
        <v>2500</v>
      </c>
      <c r="N10" s="14">
        <f>'Kostnaður verkáætlunar'!AB42</f>
        <v>2500</v>
      </c>
      <c r="O10" s="15">
        <f>'Kostnaður verkáætlunar'!AP42</f>
        <v>2500</v>
      </c>
      <c r="P10" s="34"/>
      <c r="Q10" s="34"/>
      <c r="R10" s="34"/>
      <c r="S10" s="34"/>
    </row>
    <row r="11" spans="1:19">
      <c r="A11" s="34"/>
      <c r="B11" s="265" t="s">
        <v>20</v>
      </c>
      <c r="C11" s="264"/>
      <c r="D11" s="3"/>
      <c r="E11" s="3">
        <f>0.2*(E6+E7+E9+E10)</f>
        <v>6186</v>
      </c>
      <c r="F11" s="3">
        <f t="shared" ref="F11:G11" si="1">0.2*SUM(F6:F10)</f>
        <v>450</v>
      </c>
      <c r="G11" s="3">
        <f t="shared" si="1"/>
        <v>300</v>
      </c>
      <c r="H11" s="3"/>
      <c r="I11" s="3"/>
      <c r="J11" s="3"/>
      <c r="K11" s="3"/>
      <c r="L11" s="3"/>
      <c r="M11" s="13">
        <f t="shared" si="0"/>
        <v>6936</v>
      </c>
      <c r="N11" s="14">
        <f>'Kostnaður verkáætlunar'!AB47</f>
        <v>11339.199999999999</v>
      </c>
      <c r="O11" s="15">
        <f>'Kostnaður verkáætlunar'!AP47</f>
        <v>12545.599999999999</v>
      </c>
      <c r="P11" s="34"/>
      <c r="Q11" s="34"/>
      <c r="R11" s="34"/>
      <c r="S11" s="34"/>
    </row>
    <row r="12" spans="1:19" ht="15" customHeight="1">
      <c r="A12" s="34"/>
      <c r="B12" s="273" t="s">
        <v>29</v>
      </c>
      <c r="C12" s="264"/>
      <c r="D12" s="16">
        <f t="shared" ref="D12:O12" si="2">SUM(D6:D11)</f>
        <v>0</v>
      </c>
      <c r="E12" s="16">
        <f t="shared" si="2"/>
        <v>39281</v>
      </c>
      <c r="F12" s="16">
        <f t="shared" si="2"/>
        <v>2700</v>
      </c>
      <c r="G12" s="16">
        <f t="shared" si="2"/>
        <v>1800</v>
      </c>
      <c r="H12" s="16">
        <f t="shared" si="2"/>
        <v>0</v>
      </c>
      <c r="I12" s="16">
        <f t="shared" si="2"/>
        <v>0</v>
      </c>
      <c r="J12" s="16">
        <f t="shared" si="2"/>
        <v>0</v>
      </c>
      <c r="K12" s="16">
        <f t="shared" si="2"/>
        <v>0</v>
      </c>
      <c r="L12" s="16">
        <f t="shared" si="2"/>
        <v>0</v>
      </c>
      <c r="M12" s="13">
        <f>IF(SUM(M6:M11)='Kostnaður verkáætlunar'!N49,SUM(M6:M11),"villa")</f>
        <v>43781</v>
      </c>
      <c r="N12" s="13">
        <f t="shared" si="2"/>
        <v>74035.199999999997</v>
      </c>
      <c r="O12" s="17">
        <f t="shared" si="2"/>
        <v>82338.600000000006</v>
      </c>
      <c r="P12" s="34"/>
      <c r="Q12" s="34"/>
      <c r="R12" s="34"/>
      <c r="S12" s="34"/>
    </row>
    <row r="13" spans="1:19">
      <c r="A13" s="34"/>
      <c r="B13" s="276" t="s">
        <v>23</v>
      </c>
      <c r="C13" s="264"/>
      <c r="D13" s="18" t="s">
        <v>30</v>
      </c>
      <c r="E13" s="18" t="s">
        <v>1</v>
      </c>
      <c r="F13" s="18" t="s">
        <v>2</v>
      </c>
      <c r="G13" s="18" t="s">
        <v>3</v>
      </c>
      <c r="H13" s="18" t="s">
        <v>4</v>
      </c>
      <c r="I13" s="18" t="s">
        <v>4</v>
      </c>
      <c r="J13" s="18" t="s">
        <v>4</v>
      </c>
      <c r="K13" s="18" t="s">
        <v>4</v>
      </c>
      <c r="L13" s="18" t="s">
        <v>26</v>
      </c>
      <c r="M13" s="18" t="s">
        <v>22</v>
      </c>
      <c r="N13" s="268" t="s">
        <v>6</v>
      </c>
      <c r="O13" s="269"/>
      <c r="P13" s="34"/>
      <c r="Q13" s="34"/>
      <c r="R13" s="34"/>
      <c r="S13" s="34"/>
    </row>
    <row r="14" spans="1:19">
      <c r="A14" s="34"/>
      <c r="B14" s="265" t="s">
        <v>12</v>
      </c>
      <c r="C14" s="264"/>
      <c r="D14" s="3"/>
      <c r="E14" s="3">
        <v>28781</v>
      </c>
      <c r="F14" s="3">
        <v>1200</v>
      </c>
      <c r="G14" s="3">
        <v>800</v>
      </c>
      <c r="H14" s="3"/>
      <c r="I14" s="3"/>
      <c r="J14" s="3"/>
      <c r="K14" s="3"/>
      <c r="L14" s="3"/>
      <c r="M14" s="13">
        <f>SUM(D14:L14)</f>
        <v>30781</v>
      </c>
      <c r="N14" s="3">
        <v>63835</v>
      </c>
      <c r="O14" s="9">
        <v>72426</v>
      </c>
      <c r="P14" s="34"/>
      <c r="Q14" s="34"/>
      <c r="R14" s="34"/>
      <c r="S14" s="34"/>
    </row>
    <row r="15" spans="1:19">
      <c r="A15" s="34"/>
      <c r="B15" s="265" t="s">
        <v>13</v>
      </c>
      <c r="C15" s="264"/>
      <c r="D15" s="3"/>
      <c r="E15" s="3"/>
      <c r="F15" s="3"/>
      <c r="G15" s="3"/>
      <c r="H15" s="3"/>
      <c r="I15" s="3"/>
      <c r="J15" s="3"/>
      <c r="K15" s="3"/>
      <c r="L15" s="3"/>
      <c r="M15" s="13">
        <f>SUM(D15:L15)</f>
        <v>0</v>
      </c>
      <c r="N15" s="3"/>
      <c r="O15" s="9"/>
      <c r="P15" s="34"/>
      <c r="Q15" s="34"/>
      <c r="R15" s="34"/>
      <c r="S15" s="34"/>
    </row>
    <row r="16" spans="1:19">
      <c r="A16" s="34"/>
      <c r="B16" s="266" t="s">
        <v>27</v>
      </c>
      <c r="C16" s="4"/>
      <c r="D16" s="3"/>
      <c r="E16" s="3"/>
      <c r="F16" s="3"/>
      <c r="G16" s="3"/>
      <c r="H16" s="3"/>
      <c r="I16" s="3"/>
      <c r="J16" s="3"/>
      <c r="K16" s="3"/>
      <c r="L16" s="3"/>
      <c r="M16" s="13">
        <f>SUM(D16:L16)</f>
        <v>0</v>
      </c>
      <c r="N16" s="3"/>
      <c r="O16" s="9"/>
      <c r="P16" s="34"/>
      <c r="Q16" s="34"/>
      <c r="R16" s="34"/>
      <c r="S16" s="34"/>
    </row>
    <row r="17" spans="1:19">
      <c r="A17" s="34"/>
      <c r="B17" s="267"/>
      <c r="C17" s="5"/>
      <c r="D17" s="3"/>
      <c r="E17" s="3"/>
      <c r="F17" s="3"/>
      <c r="G17" s="3"/>
      <c r="H17" s="3"/>
      <c r="I17" s="3"/>
      <c r="J17" s="3"/>
      <c r="K17" s="3"/>
      <c r="L17" s="3"/>
      <c r="M17" s="13">
        <f>SUM(D17:L17)</f>
        <v>0</v>
      </c>
      <c r="N17" s="3"/>
      <c r="O17" s="9"/>
      <c r="P17" s="57"/>
      <c r="Q17" s="34"/>
      <c r="R17" s="34"/>
      <c r="S17" s="34"/>
    </row>
    <row r="18" spans="1:19">
      <c r="A18" s="34"/>
      <c r="B18" s="273" t="s">
        <v>31</v>
      </c>
      <c r="C18" s="264"/>
      <c r="D18" s="13">
        <f>SUM(D14:D17)</f>
        <v>0</v>
      </c>
      <c r="E18" s="13">
        <f t="shared" ref="E18:L18" si="3">SUM(E14:E17)</f>
        <v>28781</v>
      </c>
      <c r="F18" s="13">
        <f t="shared" si="3"/>
        <v>1200</v>
      </c>
      <c r="G18" s="13">
        <f t="shared" si="3"/>
        <v>800</v>
      </c>
      <c r="H18" s="13">
        <f t="shared" si="3"/>
        <v>0</v>
      </c>
      <c r="I18" s="13">
        <f>SUM(I14:I17)</f>
        <v>0</v>
      </c>
      <c r="J18" s="13">
        <f>SUM(J14:J17)</f>
        <v>0</v>
      </c>
      <c r="K18" s="13">
        <f>SUM(K14:K17)</f>
        <v>0</v>
      </c>
      <c r="L18" s="13">
        <f t="shared" si="3"/>
        <v>0</v>
      </c>
      <c r="M18" s="13">
        <f>SUM(D18:L18)</f>
        <v>30781</v>
      </c>
      <c r="N18" s="13">
        <f>SUM(N14:N17)</f>
        <v>63835</v>
      </c>
      <c r="O18" s="17">
        <f>SUM(O14:O17)</f>
        <v>72426</v>
      </c>
      <c r="P18" s="57"/>
      <c r="Q18" s="34"/>
      <c r="R18" s="34"/>
      <c r="S18" s="34"/>
    </row>
    <row r="19" spans="1:19">
      <c r="A19" s="34"/>
      <c r="B19" s="273" t="s">
        <v>25</v>
      </c>
      <c r="C19" s="264"/>
      <c r="D19" s="13">
        <f>D12-D18</f>
        <v>0</v>
      </c>
      <c r="E19" s="13">
        <f t="shared" ref="E19:O19" si="4">E12-E18</f>
        <v>10500</v>
      </c>
      <c r="F19" s="13">
        <f t="shared" si="4"/>
        <v>1500</v>
      </c>
      <c r="G19" s="13">
        <f t="shared" si="4"/>
        <v>1000</v>
      </c>
      <c r="H19" s="13">
        <f t="shared" si="4"/>
        <v>0</v>
      </c>
      <c r="I19" s="13">
        <f t="shared" si="4"/>
        <v>0</v>
      </c>
      <c r="J19" s="13">
        <f t="shared" si="4"/>
        <v>0</v>
      </c>
      <c r="K19" s="13">
        <f t="shared" si="4"/>
        <v>0</v>
      </c>
      <c r="L19" s="13">
        <f t="shared" si="4"/>
        <v>0</v>
      </c>
      <c r="M19" s="13">
        <f t="shared" si="4"/>
        <v>13000</v>
      </c>
      <c r="N19" s="13">
        <f t="shared" si="4"/>
        <v>10200.199999999997</v>
      </c>
      <c r="O19" s="17">
        <f t="shared" si="4"/>
        <v>9912.6000000000058</v>
      </c>
      <c r="P19" s="57"/>
      <c r="Q19" s="34"/>
      <c r="R19" s="34"/>
      <c r="S19" s="34"/>
    </row>
    <row r="20" spans="1:19">
      <c r="A20" s="34"/>
      <c r="B20" s="274" t="s">
        <v>32</v>
      </c>
      <c r="C20" s="264"/>
      <c r="D20" s="19" t="str">
        <f>IF(D19=0,"0",D19/D12)</f>
        <v>0</v>
      </c>
      <c r="E20" s="20">
        <f t="shared" ref="E20:O20" si="5">IF(E19=0,"0",E19/E12)</f>
        <v>0.2673048038491892</v>
      </c>
      <c r="F20" s="20">
        <f t="shared" si="5"/>
        <v>0.55555555555555558</v>
      </c>
      <c r="G20" s="20">
        <f t="shared" si="5"/>
        <v>0.55555555555555558</v>
      </c>
      <c r="H20" s="20" t="str">
        <f t="shared" si="5"/>
        <v>0</v>
      </c>
      <c r="I20" s="20" t="str">
        <f t="shared" si="5"/>
        <v>0</v>
      </c>
      <c r="J20" s="20" t="str">
        <f t="shared" si="5"/>
        <v>0</v>
      </c>
      <c r="K20" s="20" t="str">
        <f t="shared" si="5"/>
        <v>0</v>
      </c>
      <c r="L20" s="20" t="str">
        <f t="shared" si="5"/>
        <v>0</v>
      </c>
      <c r="M20" s="20">
        <f t="shared" si="5"/>
        <v>0.29693245928599166</v>
      </c>
      <c r="N20" s="20">
        <f t="shared" si="5"/>
        <v>0.1377750043222683</v>
      </c>
      <c r="O20" s="21">
        <f t="shared" si="5"/>
        <v>0.12038825046818874</v>
      </c>
      <c r="P20" s="34"/>
      <c r="Q20" s="34"/>
      <c r="R20" s="34"/>
      <c r="S20" s="34"/>
    </row>
    <row r="21" spans="1:19" ht="16.5" customHeight="1">
      <c r="A21" s="34"/>
      <c r="B21" s="274" t="s">
        <v>33</v>
      </c>
      <c r="C21" s="264"/>
      <c r="D21" s="22" t="s">
        <v>14</v>
      </c>
      <c r="E21" s="22" t="s">
        <v>14</v>
      </c>
      <c r="F21" s="22" t="s">
        <v>14</v>
      </c>
      <c r="G21" s="22" t="s">
        <v>14</v>
      </c>
      <c r="H21" s="22" t="s">
        <v>14</v>
      </c>
      <c r="I21" s="22" t="s">
        <v>14</v>
      </c>
      <c r="J21" s="22" t="s">
        <v>14</v>
      </c>
      <c r="K21" s="22" t="s">
        <v>14</v>
      </c>
      <c r="L21" s="22" t="s">
        <v>14</v>
      </c>
      <c r="M21" s="11" t="s">
        <v>15</v>
      </c>
      <c r="N21" s="22" t="s">
        <v>14</v>
      </c>
      <c r="O21" s="23" t="s">
        <v>14</v>
      </c>
      <c r="Q21" s="34"/>
      <c r="R21" s="34"/>
      <c r="S21" s="34"/>
    </row>
    <row r="22" spans="1:19">
      <c r="A22" s="34"/>
      <c r="B22" s="265" t="s">
        <v>16</v>
      </c>
      <c r="C22" s="264"/>
      <c r="D22" s="7"/>
      <c r="E22" s="7">
        <v>28</v>
      </c>
      <c r="F22" s="7">
        <v>3</v>
      </c>
      <c r="G22" s="7">
        <v>2</v>
      </c>
      <c r="H22" s="7"/>
      <c r="I22" s="7"/>
      <c r="J22" s="7"/>
      <c r="K22" s="7"/>
      <c r="L22" s="7"/>
      <c r="M22" s="8">
        <f>SUM(D22:L22)</f>
        <v>33</v>
      </c>
      <c r="N22" s="7">
        <v>55</v>
      </c>
      <c r="O22" s="10">
        <v>67</v>
      </c>
      <c r="Q22" s="34"/>
      <c r="R22" s="34"/>
      <c r="S22" s="34"/>
    </row>
    <row r="23" spans="1:19">
      <c r="A23" s="34"/>
      <c r="B23" s="265" t="s">
        <v>17</v>
      </c>
      <c r="C23" s="264"/>
      <c r="D23" s="7"/>
      <c r="E23" s="7"/>
      <c r="F23" s="7"/>
      <c r="G23" s="7"/>
      <c r="H23" s="7"/>
      <c r="I23" s="7"/>
      <c r="J23" s="7"/>
      <c r="K23" s="7"/>
      <c r="L23" s="7"/>
      <c r="M23" s="8">
        <f>SUM(D23:L23)</f>
        <v>0</v>
      </c>
      <c r="N23" s="7"/>
      <c r="O23" s="10"/>
      <c r="P23" s="34"/>
      <c r="Q23" s="34"/>
      <c r="R23" s="34"/>
      <c r="S23" s="34"/>
    </row>
    <row r="24" spans="1:19">
      <c r="A24" s="34"/>
      <c r="B24" s="265" t="s">
        <v>181</v>
      </c>
      <c r="C24" s="264"/>
      <c r="D24" s="7"/>
      <c r="E24" s="7">
        <v>12</v>
      </c>
      <c r="F24" s="7"/>
      <c r="G24" s="7"/>
      <c r="H24" s="7"/>
      <c r="I24" s="7"/>
      <c r="J24" s="7"/>
      <c r="K24" s="7"/>
      <c r="L24" s="7"/>
      <c r="M24" s="8">
        <f>SUM(D24:L24)</f>
        <v>12</v>
      </c>
      <c r="N24" s="7">
        <v>12</v>
      </c>
      <c r="O24" s="10">
        <v>12</v>
      </c>
      <c r="P24" s="34"/>
      <c r="Q24" s="34"/>
      <c r="R24" s="34"/>
      <c r="S24" s="34"/>
    </row>
    <row r="25" spans="1:19" ht="15" thickBot="1">
      <c r="A25" s="34"/>
      <c r="B25" s="271" t="s">
        <v>18</v>
      </c>
      <c r="C25" s="272"/>
      <c r="D25" s="24">
        <f t="shared" ref="D25:L25" si="6">SUM(D22:D24)</f>
        <v>0</v>
      </c>
      <c r="E25" s="24">
        <f t="shared" si="6"/>
        <v>40</v>
      </c>
      <c r="F25" s="24">
        <f t="shared" si="6"/>
        <v>3</v>
      </c>
      <c r="G25" s="24">
        <f t="shared" si="6"/>
        <v>2</v>
      </c>
      <c r="H25" s="24">
        <f t="shared" si="6"/>
        <v>0</v>
      </c>
      <c r="I25" s="24">
        <f>SUM(I22:I24)</f>
        <v>0</v>
      </c>
      <c r="J25" s="24">
        <f>SUM(J22:J24)</f>
        <v>0</v>
      </c>
      <c r="K25" s="24">
        <f>SUM(K22:K24)</f>
        <v>0</v>
      </c>
      <c r="L25" s="24">
        <f t="shared" si="6"/>
        <v>0</v>
      </c>
      <c r="M25" s="24">
        <f>SUM(D25:L25)</f>
        <v>45</v>
      </c>
      <c r="N25" s="24">
        <f>SUM(N22:N24)</f>
        <v>67</v>
      </c>
      <c r="O25" s="25">
        <f>SUM(O22:O24)</f>
        <v>79</v>
      </c>
      <c r="P25" s="34"/>
      <c r="Q25" s="34"/>
      <c r="R25" s="34"/>
      <c r="S25" s="34"/>
    </row>
    <row r="26" spans="1:19">
      <c r="A26" s="34"/>
    </row>
    <row r="27" spans="1:19">
      <c r="A27" s="34"/>
      <c r="B27" s="275" t="s">
        <v>127</v>
      </c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</row>
    <row r="28" spans="1:19" ht="15" customHeight="1"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</row>
    <row r="29" spans="1:19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</row>
    <row r="30" spans="1:19">
      <c r="A30" s="34"/>
      <c r="B30" s="270" t="s">
        <v>98</v>
      </c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34"/>
      <c r="Q30" s="34"/>
      <c r="R30" s="34"/>
      <c r="S30" s="34"/>
    </row>
    <row r="31" spans="1:19">
      <c r="A31" s="34"/>
      <c r="B31" s="234" t="s">
        <v>108</v>
      </c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34"/>
      <c r="Q31" s="34"/>
      <c r="R31" s="34"/>
      <c r="S31" s="34"/>
    </row>
    <row r="32" spans="1:19">
      <c r="A32" s="34"/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34"/>
      <c r="Q32" s="34"/>
      <c r="R32" s="34"/>
      <c r="S32" s="34"/>
    </row>
  </sheetData>
  <mergeCells count="38">
    <mergeCell ref="B2:O2"/>
    <mergeCell ref="B3:C3"/>
    <mergeCell ref="D3:D4"/>
    <mergeCell ref="E3:E4"/>
    <mergeCell ref="F3:F4"/>
    <mergeCell ref="G3:G4"/>
    <mergeCell ref="L3:L4"/>
    <mergeCell ref="M3:M4"/>
    <mergeCell ref="N3:O4"/>
    <mergeCell ref="B4:C4"/>
    <mergeCell ref="H3:H4"/>
    <mergeCell ref="I3:I4"/>
    <mergeCell ref="J3:J4"/>
    <mergeCell ref="K3:K4"/>
    <mergeCell ref="B24:C24"/>
    <mergeCell ref="B7:C7"/>
    <mergeCell ref="B8:C8"/>
    <mergeCell ref="B15:C15"/>
    <mergeCell ref="B10:C10"/>
    <mergeCell ref="B11:C11"/>
    <mergeCell ref="B12:C12"/>
    <mergeCell ref="B13:C13"/>
    <mergeCell ref="B5:C5"/>
    <mergeCell ref="B6:C6"/>
    <mergeCell ref="B31:O32"/>
    <mergeCell ref="B16:B17"/>
    <mergeCell ref="B9:C9"/>
    <mergeCell ref="N13:O13"/>
    <mergeCell ref="B14:C14"/>
    <mergeCell ref="B30:O30"/>
    <mergeCell ref="B25:C25"/>
    <mergeCell ref="B22:C22"/>
    <mergeCell ref="B23:C23"/>
    <mergeCell ref="B18:C18"/>
    <mergeCell ref="B19:C19"/>
    <mergeCell ref="B21:C21"/>
    <mergeCell ref="B27:O28"/>
    <mergeCell ref="B20:C20"/>
  </mergeCells>
  <dataValidations count="1">
    <dataValidation type="whole" allowBlank="1" showInputMessage="1" showErrorMessage="1" errorTitle="Sláðu inn í þúsundum króna" error="Sláðu inn í þúsundum króna._x000a_" sqref="D6:G6">
      <formula1>0</formula1>
      <formula2>200000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showGridLines="0" topLeftCell="A3" zoomScale="90" zoomScaleNormal="90" zoomScalePageLayoutView="90" workbookViewId="0">
      <selection activeCell="A14" sqref="A14"/>
    </sheetView>
  </sheetViews>
  <sheetFormatPr baseColWidth="10" defaultColWidth="8.83203125" defaultRowHeight="14" outlineLevelCol="1" x14ac:dyDescent="0"/>
  <cols>
    <col min="1" max="1" width="48" customWidth="1"/>
    <col min="2" max="7" width="10.6640625" customWidth="1"/>
    <col min="8" max="8" width="11.5" bestFit="1" customWidth="1"/>
    <col min="9" max="11" width="10.6640625" customWidth="1"/>
    <col min="12" max="12" width="10.6640625" hidden="1" customWidth="1" outlineLevel="1"/>
    <col min="13" max="21" width="9.1640625" hidden="1" customWidth="1" outlineLevel="1"/>
    <col min="22" max="22" width="8.83203125" collapsed="1"/>
  </cols>
  <sheetData>
    <row r="1" spans="1:28" ht="19" thickBot="1">
      <c r="A1" s="289" t="s">
        <v>92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8" ht="15" thickBot="1">
      <c r="A2" s="52"/>
      <c r="B2" s="291" t="s">
        <v>37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3"/>
    </row>
    <row r="3" spans="1:28" ht="15" thickBot="1">
      <c r="A3" s="93"/>
      <c r="B3" s="72">
        <v>1</v>
      </c>
      <c r="C3" s="73">
        <v>2</v>
      </c>
      <c r="D3" s="73">
        <v>3</v>
      </c>
      <c r="E3" s="73">
        <v>4</v>
      </c>
      <c r="F3" s="73">
        <v>5</v>
      </c>
      <c r="G3" s="73">
        <v>6</v>
      </c>
      <c r="H3" s="73">
        <v>7</v>
      </c>
      <c r="I3" s="73">
        <v>8</v>
      </c>
      <c r="J3" s="73">
        <v>9</v>
      </c>
      <c r="K3" s="73">
        <v>10</v>
      </c>
      <c r="L3" s="73">
        <v>11</v>
      </c>
      <c r="M3" s="73">
        <v>12</v>
      </c>
      <c r="N3" s="73">
        <v>13</v>
      </c>
      <c r="O3" s="73">
        <v>14</v>
      </c>
      <c r="P3" s="73">
        <v>15</v>
      </c>
      <c r="Q3" s="73">
        <v>16</v>
      </c>
      <c r="R3" s="73">
        <v>17</v>
      </c>
      <c r="S3" s="73">
        <v>18</v>
      </c>
      <c r="T3" s="73">
        <v>19</v>
      </c>
      <c r="U3" s="74">
        <v>20</v>
      </c>
      <c r="V3" s="44" t="s">
        <v>41</v>
      </c>
      <c r="W3" s="34"/>
      <c r="X3" s="34"/>
      <c r="Y3" s="34"/>
      <c r="Z3" s="34"/>
      <c r="AA3" s="34"/>
      <c r="AB3" s="34"/>
    </row>
    <row r="4" spans="1:28" ht="6" customHeight="1" thickBo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4"/>
      <c r="W4" s="34"/>
      <c r="X4" s="34"/>
      <c r="Y4" s="34"/>
      <c r="Z4" s="34"/>
      <c r="AA4" s="34"/>
      <c r="AB4" s="34"/>
    </row>
    <row r="5" spans="1:28" ht="16">
      <c r="A5" s="96" t="s">
        <v>186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55"/>
      <c r="W5" s="34"/>
      <c r="X5" s="34"/>
      <c r="Y5" s="34"/>
      <c r="Z5" s="34"/>
      <c r="AA5" s="34"/>
      <c r="AB5" s="34"/>
    </row>
    <row r="6" spans="1:28">
      <c r="A6" s="88" t="s">
        <v>191</v>
      </c>
      <c r="B6" s="91">
        <v>10800</v>
      </c>
      <c r="C6" s="89">
        <v>28800</v>
      </c>
      <c r="D6" s="89">
        <v>43200</v>
      </c>
      <c r="E6" s="89">
        <v>57600</v>
      </c>
      <c r="F6" s="89">
        <v>57600</v>
      </c>
      <c r="G6" s="89">
        <v>57600</v>
      </c>
      <c r="H6" s="89">
        <v>57600</v>
      </c>
      <c r="I6" s="89">
        <v>57600</v>
      </c>
      <c r="J6" s="89">
        <v>57600</v>
      </c>
      <c r="K6" s="89">
        <v>57600</v>
      </c>
      <c r="L6" s="91"/>
      <c r="M6" s="89"/>
      <c r="N6" s="89"/>
      <c r="O6" s="89"/>
      <c r="P6" s="89"/>
      <c r="Q6" s="89"/>
      <c r="R6" s="89"/>
      <c r="S6" s="89"/>
      <c r="T6" s="89"/>
      <c r="U6" s="89"/>
      <c r="V6" s="67"/>
      <c r="W6" s="34"/>
      <c r="X6" s="34"/>
      <c r="Y6" s="34"/>
      <c r="Z6" s="34"/>
      <c r="AA6" s="34"/>
      <c r="AB6" s="34"/>
    </row>
    <row r="7" spans="1:28">
      <c r="A7" s="88" t="s">
        <v>192</v>
      </c>
      <c r="B7" s="91">
        <v>7200</v>
      </c>
      <c r="C7" s="89">
        <v>36000</v>
      </c>
      <c r="D7" s="89">
        <v>50400</v>
      </c>
      <c r="E7" s="89">
        <v>93600</v>
      </c>
      <c r="F7" s="89">
        <v>108000</v>
      </c>
      <c r="G7" s="89">
        <v>122400</v>
      </c>
      <c r="H7" s="89">
        <v>136800</v>
      </c>
      <c r="I7" s="89">
        <v>151200</v>
      </c>
      <c r="J7" s="89">
        <v>165600</v>
      </c>
      <c r="K7" s="89">
        <v>180000</v>
      </c>
      <c r="L7" s="91"/>
      <c r="M7" s="89"/>
      <c r="N7" s="89"/>
      <c r="O7" s="89"/>
      <c r="P7" s="89"/>
      <c r="Q7" s="89"/>
      <c r="R7" s="89"/>
      <c r="S7" s="89"/>
      <c r="T7" s="89"/>
      <c r="U7" s="89"/>
      <c r="V7" s="67"/>
      <c r="W7" s="34"/>
      <c r="X7" s="34"/>
      <c r="Y7" s="34"/>
      <c r="Z7" s="34"/>
      <c r="AA7" s="34"/>
      <c r="AB7" s="34"/>
    </row>
    <row r="8" spans="1:28">
      <c r="A8" s="88" t="s">
        <v>193</v>
      </c>
      <c r="B8" s="91">
        <v>10500</v>
      </c>
      <c r="C8" s="89">
        <v>31500</v>
      </c>
      <c r="D8" s="89">
        <v>94499</v>
      </c>
      <c r="E8" s="89">
        <v>264375</v>
      </c>
      <c r="F8" s="89">
        <v>290813</v>
      </c>
      <c r="G8" s="89">
        <v>319894</v>
      </c>
      <c r="H8" s="89">
        <v>351883</v>
      </c>
      <c r="I8" s="89">
        <v>387071</v>
      </c>
      <c r="J8" s="89">
        <v>425779</v>
      </c>
      <c r="K8" s="89">
        <v>468356</v>
      </c>
      <c r="L8" s="91"/>
      <c r="M8" s="89"/>
      <c r="N8" s="89"/>
      <c r="O8" s="89"/>
      <c r="P8" s="89"/>
      <c r="Q8" s="89"/>
      <c r="R8" s="89"/>
      <c r="S8" s="89"/>
      <c r="T8" s="89"/>
      <c r="U8" s="89"/>
      <c r="V8" s="67"/>
      <c r="W8" s="34"/>
      <c r="X8" s="34"/>
      <c r="Y8" s="34"/>
      <c r="Z8" s="34"/>
      <c r="AA8" s="34"/>
      <c r="AB8" s="34"/>
    </row>
    <row r="9" spans="1:28">
      <c r="A9" s="88" t="s">
        <v>195</v>
      </c>
      <c r="B9" s="91"/>
      <c r="C9" s="89">
        <v>6300</v>
      </c>
      <c r="D9" s="89">
        <v>18900</v>
      </c>
      <c r="E9" s="89">
        <f>1.3*D9</f>
        <v>24570</v>
      </c>
      <c r="F9" s="89">
        <f t="shared" ref="F9:K9" si="0">1.3*E9</f>
        <v>31941</v>
      </c>
      <c r="G9" s="89">
        <f t="shared" si="0"/>
        <v>41523.300000000003</v>
      </c>
      <c r="H9" s="89">
        <f t="shared" si="0"/>
        <v>53980.290000000008</v>
      </c>
      <c r="I9" s="89">
        <f t="shared" si="0"/>
        <v>70174.377000000008</v>
      </c>
      <c r="J9" s="89">
        <f t="shared" si="0"/>
        <v>91226.690100000007</v>
      </c>
      <c r="K9" s="89">
        <f t="shared" si="0"/>
        <v>118594.69713000002</v>
      </c>
      <c r="L9" s="89">
        <f t="shared" ref="L9:U9" si="1">L8*0.2</f>
        <v>0</v>
      </c>
      <c r="M9" s="89">
        <f t="shared" si="1"/>
        <v>0</v>
      </c>
      <c r="N9" s="89">
        <f t="shared" si="1"/>
        <v>0</v>
      </c>
      <c r="O9" s="89">
        <f t="shared" si="1"/>
        <v>0</v>
      </c>
      <c r="P9" s="89">
        <f t="shared" si="1"/>
        <v>0</v>
      </c>
      <c r="Q9" s="89">
        <f t="shared" si="1"/>
        <v>0</v>
      </c>
      <c r="R9" s="89">
        <f t="shared" si="1"/>
        <v>0</v>
      </c>
      <c r="S9" s="89">
        <f t="shared" si="1"/>
        <v>0</v>
      </c>
      <c r="T9" s="89">
        <f t="shared" si="1"/>
        <v>0</v>
      </c>
      <c r="U9" s="89">
        <f t="shared" si="1"/>
        <v>0</v>
      </c>
      <c r="V9" s="67"/>
      <c r="W9" s="34"/>
      <c r="X9" s="34"/>
      <c r="Y9" s="34"/>
      <c r="Z9" s="34"/>
      <c r="AA9" s="34"/>
      <c r="AB9" s="34"/>
    </row>
    <row r="10" spans="1:28">
      <c r="A10" s="88" t="s">
        <v>184</v>
      </c>
      <c r="B10" s="91"/>
      <c r="C10" s="89"/>
      <c r="D10" s="89"/>
      <c r="E10" s="89">
        <v>11025</v>
      </c>
      <c r="F10" s="89">
        <v>11576</v>
      </c>
      <c r="G10" s="89">
        <v>12155</v>
      </c>
      <c r="H10" s="89">
        <v>12763</v>
      </c>
      <c r="I10" s="89">
        <v>13401</v>
      </c>
      <c r="J10" s="89">
        <v>14071</v>
      </c>
      <c r="K10" s="89">
        <v>14775</v>
      </c>
      <c r="L10" s="91"/>
      <c r="M10" s="89"/>
      <c r="N10" s="89"/>
      <c r="O10" s="89"/>
      <c r="P10" s="89"/>
      <c r="Q10" s="89"/>
      <c r="R10" s="89"/>
      <c r="S10" s="89"/>
      <c r="T10" s="89"/>
      <c r="U10" s="89"/>
      <c r="V10" s="67"/>
      <c r="W10" s="34"/>
      <c r="X10" s="34"/>
      <c r="Y10" s="34"/>
      <c r="Z10" s="34"/>
      <c r="AA10" s="34"/>
      <c r="AB10" s="34"/>
    </row>
    <row r="11" spans="1:28">
      <c r="A11" s="88" t="s">
        <v>183</v>
      </c>
      <c r="B11" s="91"/>
      <c r="C11" s="89"/>
      <c r="D11" s="89"/>
      <c r="E11" s="89">
        <v>9868</v>
      </c>
      <c r="F11" s="89">
        <v>10619</v>
      </c>
      <c r="G11" s="89">
        <v>11114</v>
      </c>
      <c r="H11" s="89">
        <v>11635</v>
      </c>
      <c r="I11" s="89">
        <v>12182</v>
      </c>
      <c r="J11" s="89">
        <v>12756</v>
      </c>
      <c r="K11" s="89">
        <v>13359</v>
      </c>
      <c r="L11" s="91"/>
      <c r="M11" s="89"/>
      <c r="N11" s="89"/>
      <c r="O11" s="89"/>
      <c r="P11" s="89"/>
      <c r="Q11" s="89"/>
      <c r="R11" s="89"/>
      <c r="S11" s="89"/>
      <c r="T11" s="89"/>
      <c r="U11" s="89"/>
      <c r="V11" s="67"/>
      <c r="W11" s="34"/>
      <c r="X11" s="34"/>
      <c r="Y11" s="34"/>
      <c r="Z11" s="34"/>
      <c r="AA11" s="34"/>
      <c r="AB11" s="34"/>
    </row>
    <row r="12" spans="1:28" ht="15" thickBot="1">
      <c r="A12" s="77" t="s">
        <v>59</v>
      </c>
      <c r="B12" s="92">
        <f>SUM(B6:B11)</f>
        <v>28500</v>
      </c>
      <c r="C12" s="92">
        <f t="shared" ref="C12:K12" si="2">SUM(C6:C11)</f>
        <v>102600</v>
      </c>
      <c r="D12" s="92">
        <f t="shared" si="2"/>
        <v>206999</v>
      </c>
      <c r="E12" s="92">
        <f t="shared" si="2"/>
        <v>461038</v>
      </c>
      <c r="F12" s="92">
        <f t="shared" si="2"/>
        <v>510549</v>
      </c>
      <c r="G12" s="92">
        <f t="shared" si="2"/>
        <v>564686.30000000005</v>
      </c>
      <c r="H12" s="92">
        <f t="shared" si="2"/>
        <v>624661.29</v>
      </c>
      <c r="I12" s="92">
        <f t="shared" si="2"/>
        <v>691628.37699999998</v>
      </c>
      <c r="J12" s="92">
        <f t="shared" si="2"/>
        <v>767032.69010000001</v>
      </c>
      <c r="K12" s="92">
        <f t="shared" si="2"/>
        <v>852684.69712999999</v>
      </c>
      <c r="L12" s="92">
        <f t="shared" ref="L12:U12" si="3">SUM(L6:L10)</f>
        <v>0</v>
      </c>
      <c r="M12" s="92">
        <f t="shared" si="3"/>
        <v>0</v>
      </c>
      <c r="N12" s="92">
        <f t="shared" si="3"/>
        <v>0</v>
      </c>
      <c r="O12" s="92">
        <f t="shared" si="3"/>
        <v>0</v>
      </c>
      <c r="P12" s="92">
        <f t="shared" si="3"/>
        <v>0</v>
      </c>
      <c r="Q12" s="92">
        <f t="shared" si="3"/>
        <v>0</v>
      </c>
      <c r="R12" s="92">
        <f t="shared" si="3"/>
        <v>0</v>
      </c>
      <c r="S12" s="92">
        <f t="shared" si="3"/>
        <v>0</v>
      </c>
      <c r="T12" s="92">
        <f t="shared" si="3"/>
        <v>0</v>
      </c>
      <c r="U12" s="92">
        <f t="shared" si="3"/>
        <v>0</v>
      </c>
      <c r="V12" s="94">
        <f>SUM(B12:U12)</f>
        <v>4810379.3542299997</v>
      </c>
      <c r="W12" s="34"/>
      <c r="X12" s="34"/>
      <c r="Y12" s="34"/>
      <c r="Z12" s="34"/>
      <c r="AA12" s="34"/>
      <c r="AB12" s="34"/>
    </row>
    <row r="13" spans="1:28" s="1" customFormat="1">
      <c r="A13" s="3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34"/>
      <c r="X13" s="36"/>
      <c r="Y13" s="34"/>
      <c r="Z13" s="34"/>
      <c r="AA13" s="34"/>
      <c r="AB13" s="34"/>
    </row>
    <row r="14" spans="1:28" s="1" customFormat="1" ht="15" thickBot="1">
      <c r="A14" s="3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34"/>
      <c r="X14" s="36"/>
      <c r="Y14" s="34"/>
      <c r="Z14" s="34"/>
      <c r="AA14" s="34"/>
      <c r="AB14" s="34"/>
    </row>
    <row r="15" spans="1:28" ht="17" thickBot="1">
      <c r="A15" s="98" t="s">
        <v>119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100"/>
      <c r="W15" s="34"/>
      <c r="X15" s="34"/>
      <c r="Y15" s="34"/>
      <c r="Z15" s="34"/>
      <c r="AA15" s="34"/>
      <c r="AB15" s="34"/>
    </row>
    <row r="16" spans="1:28">
      <c r="A16" s="178" t="s">
        <v>74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7"/>
      <c r="W16" s="34"/>
      <c r="X16" s="34"/>
      <c r="Y16" s="34"/>
      <c r="Z16" s="34"/>
      <c r="AA16" s="34"/>
      <c r="AB16" s="34"/>
    </row>
    <row r="17" spans="1:28">
      <c r="A17" s="88" t="s">
        <v>185</v>
      </c>
      <c r="B17" s="89">
        <f>19*750+12*250</f>
        <v>17250</v>
      </c>
      <c r="C17" s="89">
        <f>31*750+12*250</f>
        <v>26250</v>
      </c>
      <c r="D17" s="89">
        <f>31*750+12*250</f>
        <v>26250</v>
      </c>
      <c r="E17" s="89">
        <v>83474</v>
      </c>
      <c r="F17" s="89">
        <v>126530.49083904002</v>
      </c>
      <c r="G17" s="89">
        <v>137719.47064197125</v>
      </c>
      <c r="H17" s="89">
        <v>145982.63888048951</v>
      </c>
      <c r="I17" s="89">
        <v>154741.59721331892</v>
      </c>
      <c r="J17" s="89">
        <v>164026.09304611804</v>
      </c>
      <c r="K17" s="89">
        <v>173867.65862888511</v>
      </c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67"/>
      <c r="W17" s="34"/>
      <c r="X17" s="34"/>
      <c r="Y17" s="34"/>
      <c r="Z17" s="34"/>
      <c r="AA17" s="34"/>
      <c r="AB17" s="34"/>
    </row>
    <row r="18" spans="1:28">
      <c r="A18" s="88" t="s">
        <v>194</v>
      </c>
      <c r="B18" s="89">
        <f>0.3*B8</f>
        <v>3150</v>
      </c>
      <c r="C18" s="89">
        <f t="shared" ref="C18:K18" si="4">0.3*C8</f>
        <v>9450</v>
      </c>
      <c r="D18" s="89">
        <f t="shared" si="4"/>
        <v>28349.7</v>
      </c>
      <c r="E18" s="89">
        <f t="shared" si="4"/>
        <v>79312.5</v>
      </c>
      <c r="F18" s="89">
        <f t="shared" si="4"/>
        <v>87243.9</v>
      </c>
      <c r="G18" s="89">
        <f t="shared" si="4"/>
        <v>95968.2</v>
      </c>
      <c r="H18" s="89">
        <f t="shared" si="4"/>
        <v>105564.9</v>
      </c>
      <c r="I18" s="89">
        <f t="shared" si="4"/>
        <v>116121.3</v>
      </c>
      <c r="J18" s="89">
        <f t="shared" si="4"/>
        <v>127733.7</v>
      </c>
      <c r="K18" s="89">
        <f t="shared" si="4"/>
        <v>140506.79999999999</v>
      </c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67"/>
      <c r="W18" s="34"/>
      <c r="X18" s="34"/>
      <c r="Y18" s="34"/>
      <c r="Z18" s="34"/>
      <c r="AA18" s="34"/>
      <c r="AB18" s="34"/>
    </row>
    <row r="19" spans="1:28">
      <c r="A19" s="88" t="s">
        <v>190</v>
      </c>
      <c r="B19" s="89">
        <f>0.1*B9</f>
        <v>0</v>
      </c>
      <c r="C19" s="89">
        <f t="shared" ref="C19:K19" si="5">0.1*C9</f>
        <v>630</v>
      </c>
      <c r="D19" s="89">
        <f t="shared" si="5"/>
        <v>1890</v>
      </c>
      <c r="E19" s="89">
        <f t="shared" si="5"/>
        <v>2457</v>
      </c>
      <c r="F19" s="89">
        <f t="shared" si="5"/>
        <v>3194.1000000000004</v>
      </c>
      <c r="G19" s="89">
        <f t="shared" si="5"/>
        <v>4152.3300000000008</v>
      </c>
      <c r="H19" s="89">
        <f t="shared" si="5"/>
        <v>5398.0290000000014</v>
      </c>
      <c r="I19" s="89">
        <f t="shared" si="5"/>
        <v>7017.4377000000013</v>
      </c>
      <c r="J19" s="89">
        <f t="shared" si="5"/>
        <v>9122.6690100000014</v>
      </c>
      <c r="K19" s="89">
        <f t="shared" si="5"/>
        <v>11859.469713000002</v>
      </c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67"/>
      <c r="W19" s="34"/>
      <c r="X19" s="34"/>
      <c r="Y19" s="34"/>
      <c r="Z19" s="34"/>
      <c r="AA19" s="34"/>
      <c r="AB19" s="34"/>
    </row>
    <row r="20" spans="1:28">
      <c r="A20" s="88" t="s">
        <v>196</v>
      </c>
      <c r="B20" s="89" t="s">
        <v>79</v>
      </c>
      <c r="C20" s="89" t="s">
        <v>79</v>
      </c>
      <c r="D20" s="89" t="s">
        <v>79</v>
      </c>
      <c r="E20" s="89">
        <v>5000</v>
      </c>
      <c r="F20" s="89">
        <v>6250</v>
      </c>
      <c r="G20" s="89">
        <v>5602.5</v>
      </c>
      <c r="H20" s="89">
        <v>6782.625</v>
      </c>
      <c r="I20" s="89">
        <v>5971.7562500000004</v>
      </c>
      <c r="J20" s="89">
        <v>7170.3440625000003</v>
      </c>
      <c r="K20" s="89">
        <v>6378.8612656250007</v>
      </c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67"/>
      <c r="W20" s="34"/>
      <c r="X20" s="34"/>
      <c r="Y20" s="34"/>
      <c r="Z20" s="34"/>
      <c r="AA20" s="34"/>
      <c r="AB20" s="34"/>
    </row>
    <row r="21" spans="1:28">
      <c r="A21" s="141" t="s">
        <v>206</v>
      </c>
      <c r="B21" s="89">
        <v>365</v>
      </c>
      <c r="C21" s="89">
        <v>700</v>
      </c>
      <c r="D21" s="89">
        <v>1500</v>
      </c>
      <c r="E21" s="89">
        <v>1820</v>
      </c>
      <c r="F21" s="89">
        <v>1977.0000000000002</v>
      </c>
      <c r="G21" s="89">
        <v>2148.4500000000003</v>
      </c>
      <c r="H21" s="89">
        <v>2335.7325000000005</v>
      </c>
      <c r="I21" s="89">
        <v>2540.3651250000007</v>
      </c>
      <c r="J21" s="89">
        <v>2764.0139812500011</v>
      </c>
      <c r="K21" s="89">
        <v>3008.5083403125013</v>
      </c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67"/>
      <c r="W21" s="34"/>
      <c r="X21" s="34"/>
      <c r="Y21" s="34"/>
      <c r="Z21" s="34"/>
      <c r="AA21" s="34"/>
      <c r="AB21" s="34"/>
    </row>
    <row r="22" spans="1:28">
      <c r="A22" s="141" t="s">
        <v>151</v>
      </c>
      <c r="B22" s="89">
        <v>1160</v>
      </c>
      <c r="C22" s="89">
        <v>2000</v>
      </c>
      <c r="D22" s="89">
        <v>2100</v>
      </c>
      <c r="E22" s="89">
        <v>2205</v>
      </c>
      <c r="F22" s="89">
        <v>2315.25</v>
      </c>
      <c r="G22" s="89">
        <v>2431.0125000000003</v>
      </c>
      <c r="H22" s="89">
        <v>2552.5631250000006</v>
      </c>
      <c r="I22" s="89">
        <v>2680.1912812500009</v>
      </c>
      <c r="J22" s="89">
        <v>2814.2008453125009</v>
      </c>
      <c r="K22" s="89">
        <v>2954.9108875781262</v>
      </c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67"/>
      <c r="W22" s="34"/>
      <c r="X22" s="34"/>
      <c r="Y22" s="34"/>
      <c r="Z22" s="34"/>
      <c r="AA22" s="34"/>
      <c r="AB22" s="34"/>
    </row>
    <row r="23" spans="1:28">
      <c r="A23" s="88" t="s">
        <v>149</v>
      </c>
      <c r="B23" s="89">
        <v>2520</v>
      </c>
      <c r="C23" s="89">
        <v>2646</v>
      </c>
      <c r="D23" s="89">
        <v>2778.3</v>
      </c>
      <c r="E23" s="89">
        <v>2917.2150000000001</v>
      </c>
      <c r="F23" s="89">
        <v>3063.0757500000004</v>
      </c>
      <c r="G23" s="89">
        <v>3216.2295375000008</v>
      </c>
      <c r="H23" s="89">
        <v>3377.0410143750009</v>
      </c>
      <c r="I23" s="89">
        <v>3545.8930650937509</v>
      </c>
      <c r="J23" s="89">
        <v>3723.1877183484385</v>
      </c>
      <c r="K23" s="89">
        <v>3909.3471042658607</v>
      </c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67"/>
      <c r="W23" s="34"/>
      <c r="X23" s="34"/>
      <c r="Y23" s="34"/>
      <c r="Z23" s="34"/>
      <c r="AA23" s="34"/>
      <c r="AB23" s="34"/>
    </row>
    <row r="24" spans="1:28">
      <c r="A24" s="88" t="s">
        <v>75</v>
      </c>
      <c r="B24" s="89">
        <v>4970</v>
      </c>
      <c r="C24" s="89">
        <v>5228</v>
      </c>
      <c r="D24" s="89">
        <v>5448</v>
      </c>
      <c r="E24" s="89">
        <v>5373</v>
      </c>
      <c r="F24" s="89">
        <v>5611.65</v>
      </c>
      <c r="G24" s="89">
        <v>5862.2325000000001</v>
      </c>
      <c r="H24" s="89">
        <v>6125.3441250000014</v>
      </c>
      <c r="I24" s="89">
        <v>6401.611331250002</v>
      </c>
      <c r="J24" s="89">
        <v>6691.6918978125013</v>
      </c>
      <c r="K24" s="89">
        <v>6996.2764927031276</v>
      </c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67"/>
      <c r="W24" s="34"/>
      <c r="X24" s="34"/>
      <c r="Y24" s="34"/>
      <c r="Z24" s="34"/>
      <c r="AA24" s="34"/>
      <c r="AB24" s="34"/>
    </row>
    <row r="25" spans="1:28">
      <c r="A25" s="95" t="s">
        <v>55</v>
      </c>
      <c r="B25" s="89">
        <v>2500</v>
      </c>
      <c r="C25" s="89">
        <v>2500</v>
      </c>
      <c r="D25" s="89">
        <v>2500</v>
      </c>
      <c r="E25" s="89">
        <v>2500</v>
      </c>
      <c r="F25" s="89">
        <v>2500</v>
      </c>
      <c r="G25" s="89">
        <v>2500</v>
      </c>
      <c r="H25" s="89">
        <v>2500</v>
      </c>
      <c r="I25" s="89">
        <v>2500</v>
      </c>
      <c r="J25" s="89">
        <v>2500</v>
      </c>
      <c r="K25" s="89">
        <v>2500</v>
      </c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67"/>
      <c r="W25" s="34"/>
      <c r="X25" s="34"/>
      <c r="Y25" s="34"/>
      <c r="Z25" s="34"/>
      <c r="AA25" s="34"/>
      <c r="AB25" s="34"/>
    </row>
    <row r="26" spans="1:28" ht="15" thickBot="1">
      <c r="A26" s="181" t="s">
        <v>41</v>
      </c>
      <c r="B26" s="90">
        <f t="shared" ref="B26:U26" si="6">SUM(B17:B25)</f>
        <v>31915</v>
      </c>
      <c r="C26" s="90">
        <f t="shared" si="6"/>
        <v>49404</v>
      </c>
      <c r="D26" s="90">
        <f t="shared" si="6"/>
        <v>70816</v>
      </c>
      <c r="E26" s="90">
        <f t="shared" si="6"/>
        <v>185058.715</v>
      </c>
      <c r="F26" s="90">
        <f t="shared" si="6"/>
        <v>238685.46658904001</v>
      </c>
      <c r="G26" s="90">
        <f t="shared" si="6"/>
        <v>259600.42517947126</v>
      </c>
      <c r="H26" s="90">
        <f t="shared" si="6"/>
        <v>280618.87364486448</v>
      </c>
      <c r="I26" s="90">
        <f t="shared" si="6"/>
        <v>301520.15196591261</v>
      </c>
      <c r="J26" s="90">
        <f t="shared" si="6"/>
        <v>326545.90056134149</v>
      </c>
      <c r="K26" s="90">
        <f t="shared" si="6"/>
        <v>351981.83243236976</v>
      </c>
      <c r="L26" s="90">
        <f t="shared" si="6"/>
        <v>0</v>
      </c>
      <c r="M26" s="90">
        <f t="shared" si="6"/>
        <v>0</v>
      </c>
      <c r="N26" s="90">
        <f t="shared" si="6"/>
        <v>0</v>
      </c>
      <c r="O26" s="90">
        <f t="shared" si="6"/>
        <v>0</v>
      </c>
      <c r="P26" s="90">
        <f t="shared" si="6"/>
        <v>0</v>
      </c>
      <c r="Q26" s="90">
        <f t="shared" si="6"/>
        <v>0</v>
      </c>
      <c r="R26" s="90">
        <f t="shared" si="6"/>
        <v>0</v>
      </c>
      <c r="S26" s="90">
        <f t="shared" si="6"/>
        <v>0</v>
      </c>
      <c r="T26" s="90">
        <f t="shared" si="6"/>
        <v>0</v>
      </c>
      <c r="U26" s="90">
        <f t="shared" si="6"/>
        <v>0</v>
      </c>
      <c r="V26" s="182">
        <f>SUM(B26:U26)</f>
        <v>2096146.3653729996</v>
      </c>
      <c r="W26" s="34"/>
      <c r="X26" s="34"/>
      <c r="Y26" s="34"/>
      <c r="Z26" s="34"/>
      <c r="AA26" s="34"/>
      <c r="AB26" s="34"/>
    </row>
    <row r="27" spans="1:28">
      <c r="A27" s="178" t="s">
        <v>64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7"/>
      <c r="W27" s="34"/>
      <c r="X27" s="34"/>
      <c r="Y27" s="34"/>
      <c r="Z27" s="34"/>
      <c r="AA27" s="34"/>
      <c r="AB27" s="34"/>
    </row>
    <row r="28" spans="1:28">
      <c r="A28" s="88" t="s">
        <v>185</v>
      </c>
      <c r="B28" s="89">
        <f>14*750</f>
        <v>10500</v>
      </c>
      <c r="C28" s="89">
        <f>24*750</f>
        <v>18000</v>
      </c>
      <c r="D28" s="89">
        <f>36*750</f>
        <v>27000</v>
      </c>
      <c r="E28" s="89">
        <v>49576.755609599997</v>
      </c>
      <c r="F28" s="89">
        <v>52551.360946176021</v>
      </c>
      <c r="G28" s="89">
        <v>66598.669385072659</v>
      </c>
      <c r="H28" s="89">
        <v>70594.589548177028</v>
      </c>
      <c r="I28" s="89">
        <v>74830.264921067646</v>
      </c>
      <c r="J28" s="89">
        <v>79320.080816331712</v>
      </c>
      <c r="K28" s="89">
        <v>84079.285665311618</v>
      </c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67"/>
      <c r="W28" s="34"/>
      <c r="X28" s="34"/>
      <c r="Y28" s="34"/>
      <c r="Z28" s="34"/>
      <c r="AA28" s="34"/>
      <c r="AB28" s="34"/>
    </row>
    <row r="29" spans="1:28">
      <c r="A29" s="88" t="s">
        <v>150</v>
      </c>
      <c r="B29" s="89">
        <v>750</v>
      </c>
      <c r="C29" s="89">
        <v>2000</v>
      </c>
      <c r="D29" s="89">
        <v>2100</v>
      </c>
      <c r="E29" s="89">
        <v>2205</v>
      </c>
      <c r="F29" s="89">
        <v>2315.25</v>
      </c>
      <c r="G29" s="89">
        <v>2431.0125000000003</v>
      </c>
      <c r="H29" s="89">
        <v>2552.5631250000006</v>
      </c>
      <c r="I29" s="89">
        <v>2680.1912812500009</v>
      </c>
      <c r="J29" s="89">
        <v>2814.2008453125009</v>
      </c>
      <c r="K29" s="89">
        <v>2954.9108875781262</v>
      </c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67"/>
      <c r="W29" s="34"/>
      <c r="X29" s="34"/>
      <c r="Y29" s="34"/>
      <c r="Z29" s="34"/>
      <c r="AA29" s="34"/>
      <c r="AB29" s="34"/>
    </row>
    <row r="30" spans="1:28">
      <c r="A30" s="88" t="s">
        <v>182</v>
      </c>
      <c r="B30" s="89">
        <v>1800</v>
      </c>
      <c r="C30" s="89">
        <v>5300</v>
      </c>
      <c r="D30" s="89">
        <v>5565</v>
      </c>
      <c r="E30" s="89">
        <v>5843.25</v>
      </c>
      <c r="F30" s="89">
        <v>6135.4125000000004</v>
      </c>
      <c r="G30" s="89">
        <v>6442.1831250000005</v>
      </c>
      <c r="H30" s="89">
        <v>6764.292281250001</v>
      </c>
      <c r="I30" s="89">
        <v>7102.506895312501</v>
      </c>
      <c r="J30" s="89">
        <v>7457.6322400781264</v>
      </c>
      <c r="K30" s="89">
        <v>7830.5138520820328</v>
      </c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67"/>
      <c r="W30" s="34"/>
      <c r="X30" s="34"/>
      <c r="Y30" s="34"/>
      <c r="Z30" s="34"/>
      <c r="AA30" s="34"/>
      <c r="AB30" s="34"/>
    </row>
    <row r="31" spans="1:28" ht="15" thickBot="1">
      <c r="A31" s="77" t="s">
        <v>41</v>
      </c>
      <c r="B31" s="90">
        <f>SUM(B28:B30)</f>
        <v>13050</v>
      </c>
      <c r="C31" s="90">
        <f>SUM(C28:C30)</f>
        <v>25300</v>
      </c>
      <c r="D31" s="90">
        <f>SUM(D28:D30)</f>
        <v>34665</v>
      </c>
      <c r="E31" s="90">
        <f>SUM(E28:E30)</f>
        <v>57625.005609599997</v>
      </c>
      <c r="F31" s="90">
        <f t="shared" ref="F31:U31" si="7">SUM(F28:F29)</f>
        <v>54866.610946176021</v>
      </c>
      <c r="G31" s="90">
        <f t="shared" si="7"/>
        <v>69029.681885072656</v>
      </c>
      <c r="H31" s="90">
        <f t="shared" si="7"/>
        <v>73147.152673177028</v>
      </c>
      <c r="I31" s="90">
        <f t="shared" si="7"/>
        <v>77510.45620231764</v>
      </c>
      <c r="J31" s="90">
        <f t="shared" si="7"/>
        <v>82134.281661644214</v>
      </c>
      <c r="K31" s="90">
        <f t="shared" si="7"/>
        <v>87034.196552889742</v>
      </c>
      <c r="L31" s="90">
        <f t="shared" si="7"/>
        <v>0</v>
      </c>
      <c r="M31" s="90">
        <f t="shared" si="7"/>
        <v>0</v>
      </c>
      <c r="N31" s="90">
        <f t="shared" si="7"/>
        <v>0</v>
      </c>
      <c r="O31" s="90">
        <f t="shared" si="7"/>
        <v>0</v>
      </c>
      <c r="P31" s="90">
        <f t="shared" si="7"/>
        <v>0</v>
      </c>
      <c r="Q31" s="90">
        <f t="shared" si="7"/>
        <v>0</v>
      </c>
      <c r="R31" s="90">
        <f t="shared" si="7"/>
        <v>0</v>
      </c>
      <c r="S31" s="90">
        <f t="shared" si="7"/>
        <v>0</v>
      </c>
      <c r="T31" s="90">
        <f t="shared" si="7"/>
        <v>0</v>
      </c>
      <c r="U31" s="90">
        <f t="shared" si="7"/>
        <v>0</v>
      </c>
      <c r="V31" s="94">
        <f>SUM(B31:U31)</f>
        <v>574362.38553087728</v>
      </c>
      <c r="W31" s="34"/>
      <c r="X31" s="34"/>
      <c r="Y31" s="34"/>
      <c r="Z31" s="34"/>
      <c r="AA31" s="34"/>
      <c r="AB31" s="34"/>
    </row>
    <row r="32" spans="1:28">
      <c r="A32" s="180" t="s">
        <v>56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7"/>
      <c r="W32" s="34"/>
      <c r="X32" s="34"/>
      <c r="Y32" s="34"/>
      <c r="Z32" s="34"/>
      <c r="AA32" s="34"/>
      <c r="AB32" s="34"/>
    </row>
    <row r="33" spans="1:28">
      <c r="A33" s="88" t="s">
        <v>57</v>
      </c>
      <c r="B33" s="89">
        <v>700</v>
      </c>
      <c r="C33" s="89">
        <v>500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67"/>
      <c r="W33" s="34"/>
      <c r="X33" s="34"/>
      <c r="Y33" s="34"/>
      <c r="Z33" s="34"/>
      <c r="AA33" s="34"/>
      <c r="AB33" s="34"/>
    </row>
    <row r="34" spans="1:28" ht="15" thickBot="1">
      <c r="A34" s="77" t="s">
        <v>41</v>
      </c>
      <c r="B34" s="90">
        <f t="shared" ref="B34:U34" si="8">SUM(B33:B33)</f>
        <v>700</v>
      </c>
      <c r="C34" s="90">
        <f t="shared" si="8"/>
        <v>500</v>
      </c>
      <c r="D34" s="90">
        <f t="shared" si="8"/>
        <v>0</v>
      </c>
      <c r="E34" s="90">
        <f t="shared" si="8"/>
        <v>0</v>
      </c>
      <c r="F34" s="90">
        <f t="shared" si="8"/>
        <v>0</v>
      </c>
      <c r="G34" s="90">
        <f t="shared" si="8"/>
        <v>0</v>
      </c>
      <c r="H34" s="90">
        <f t="shared" si="8"/>
        <v>0</v>
      </c>
      <c r="I34" s="90">
        <f t="shared" si="8"/>
        <v>0</v>
      </c>
      <c r="J34" s="90">
        <f t="shared" si="8"/>
        <v>0</v>
      </c>
      <c r="K34" s="90">
        <f t="shared" si="8"/>
        <v>0</v>
      </c>
      <c r="L34" s="90">
        <f t="shared" si="8"/>
        <v>0</v>
      </c>
      <c r="M34" s="90">
        <f t="shared" si="8"/>
        <v>0</v>
      </c>
      <c r="N34" s="90">
        <f t="shared" si="8"/>
        <v>0</v>
      </c>
      <c r="O34" s="90">
        <f t="shared" si="8"/>
        <v>0</v>
      </c>
      <c r="P34" s="90">
        <f t="shared" si="8"/>
        <v>0</v>
      </c>
      <c r="Q34" s="90">
        <f t="shared" si="8"/>
        <v>0</v>
      </c>
      <c r="R34" s="90">
        <f t="shared" si="8"/>
        <v>0</v>
      </c>
      <c r="S34" s="90">
        <f t="shared" si="8"/>
        <v>0</v>
      </c>
      <c r="T34" s="90">
        <f t="shared" si="8"/>
        <v>0</v>
      </c>
      <c r="U34" s="90">
        <f t="shared" si="8"/>
        <v>0</v>
      </c>
      <c r="V34" s="94">
        <f>SUM(B34:U34)</f>
        <v>1200</v>
      </c>
      <c r="W34" s="34"/>
      <c r="X34" s="34"/>
      <c r="Y34" s="34"/>
      <c r="Z34" s="34"/>
      <c r="AA34" s="34"/>
      <c r="AB34" s="34"/>
    </row>
    <row r="35" spans="1:28" ht="8.25" customHeight="1" thickBot="1">
      <c r="A35" s="173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5"/>
      <c r="W35" s="34"/>
      <c r="X35" s="34"/>
      <c r="Y35" s="34"/>
      <c r="Z35" s="34"/>
      <c r="AA35" s="34"/>
      <c r="AB35" s="34"/>
    </row>
    <row r="36" spans="1:28" ht="15" thickBot="1">
      <c r="A36" s="77" t="s">
        <v>60</v>
      </c>
      <c r="B36" s="90">
        <f t="shared" ref="B36:U36" si="9">B26+B31+B34</f>
        <v>45665</v>
      </c>
      <c r="C36" s="90">
        <f t="shared" si="9"/>
        <v>75204</v>
      </c>
      <c r="D36" s="90">
        <f t="shared" si="9"/>
        <v>105481</v>
      </c>
      <c r="E36" s="90">
        <f t="shared" si="9"/>
        <v>242683.72060959999</v>
      </c>
      <c r="F36" s="90">
        <f t="shared" si="9"/>
        <v>293552.077535216</v>
      </c>
      <c r="G36" s="90">
        <f t="shared" si="9"/>
        <v>328630.10706454393</v>
      </c>
      <c r="H36" s="90">
        <f t="shared" si="9"/>
        <v>353766.02631804149</v>
      </c>
      <c r="I36" s="90">
        <f t="shared" si="9"/>
        <v>379030.60816823028</v>
      </c>
      <c r="J36" s="90">
        <f t="shared" si="9"/>
        <v>408680.18222298572</v>
      </c>
      <c r="K36" s="90">
        <f t="shared" si="9"/>
        <v>439016.02898525947</v>
      </c>
      <c r="L36" s="90">
        <f t="shared" si="9"/>
        <v>0</v>
      </c>
      <c r="M36" s="90">
        <f t="shared" si="9"/>
        <v>0</v>
      </c>
      <c r="N36" s="90">
        <f t="shared" si="9"/>
        <v>0</v>
      </c>
      <c r="O36" s="90">
        <f t="shared" si="9"/>
        <v>0</v>
      </c>
      <c r="P36" s="90">
        <f t="shared" si="9"/>
        <v>0</v>
      </c>
      <c r="Q36" s="90">
        <f t="shared" si="9"/>
        <v>0</v>
      </c>
      <c r="R36" s="90">
        <f t="shared" si="9"/>
        <v>0</v>
      </c>
      <c r="S36" s="90">
        <f t="shared" si="9"/>
        <v>0</v>
      </c>
      <c r="T36" s="90">
        <f t="shared" si="9"/>
        <v>0</v>
      </c>
      <c r="U36" s="90">
        <f t="shared" si="9"/>
        <v>0</v>
      </c>
      <c r="V36" s="94">
        <f>SUM(B36:U36)</f>
        <v>2671708.750903877</v>
      </c>
      <c r="W36" s="34"/>
      <c r="X36" s="34"/>
      <c r="Y36" s="34"/>
      <c r="Z36" s="34"/>
      <c r="AA36" s="34"/>
      <c r="AB36" s="34"/>
    </row>
    <row r="37" spans="1:28" ht="15" thickBot="1">
      <c r="A37" s="3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34"/>
      <c r="X37" s="34"/>
      <c r="Y37" s="34"/>
      <c r="Z37" s="34"/>
      <c r="AA37" s="34"/>
      <c r="AB37" s="34"/>
    </row>
    <row r="38" spans="1:28" ht="15" thickBot="1">
      <c r="A38" s="45" t="s">
        <v>58</v>
      </c>
      <c r="B38" s="68">
        <f t="shared" ref="B38:V38" si="10">B12-B36</f>
        <v>-17165</v>
      </c>
      <c r="C38" s="68">
        <f t="shared" si="10"/>
        <v>27396</v>
      </c>
      <c r="D38" s="68">
        <f t="shared" si="10"/>
        <v>101518</v>
      </c>
      <c r="E38" s="68">
        <f t="shared" si="10"/>
        <v>218354.27939040001</v>
      </c>
      <c r="F38" s="68">
        <f t="shared" si="10"/>
        <v>216996.922464784</v>
      </c>
      <c r="G38" s="68">
        <f t="shared" si="10"/>
        <v>236056.19293545611</v>
      </c>
      <c r="H38" s="68">
        <f t="shared" si="10"/>
        <v>270895.26368195855</v>
      </c>
      <c r="I38" s="68">
        <f t="shared" si="10"/>
        <v>312597.7688317697</v>
      </c>
      <c r="J38" s="68">
        <f t="shared" si="10"/>
        <v>358352.50787701429</v>
      </c>
      <c r="K38" s="68">
        <f t="shared" si="10"/>
        <v>413668.66814474051</v>
      </c>
      <c r="L38" s="68">
        <f t="shared" si="10"/>
        <v>0</v>
      </c>
      <c r="M38" s="68">
        <f t="shared" si="10"/>
        <v>0</v>
      </c>
      <c r="N38" s="68">
        <f t="shared" si="10"/>
        <v>0</v>
      </c>
      <c r="O38" s="68">
        <f t="shared" si="10"/>
        <v>0</v>
      </c>
      <c r="P38" s="68">
        <f t="shared" si="10"/>
        <v>0</v>
      </c>
      <c r="Q38" s="68">
        <f t="shared" si="10"/>
        <v>0</v>
      </c>
      <c r="R38" s="68">
        <f t="shared" si="10"/>
        <v>0</v>
      </c>
      <c r="S38" s="68">
        <f t="shared" si="10"/>
        <v>0</v>
      </c>
      <c r="T38" s="68">
        <f t="shared" si="10"/>
        <v>0</v>
      </c>
      <c r="U38" s="68">
        <f t="shared" si="10"/>
        <v>0</v>
      </c>
      <c r="V38" s="69">
        <f t="shared" si="10"/>
        <v>2138670.6033261227</v>
      </c>
      <c r="W38" s="34"/>
      <c r="X38" s="34"/>
      <c r="Y38" s="34"/>
      <c r="Z38" s="34"/>
      <c r="AA38" s="34"/>
      <c r="AB38" s="34"/>
    </row>
    <row r="39" spans="1:28" ht="12.75" customHeight="1" thickTop="1" thickBot="1">
      <c r="A39" s="34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34"/>
      <c r="N39" s="34"/>
      <c r="O39" s="34"/>
      <c r="P39" s="34"/>
      <c r="Q39" s="34"/>
      <c r="R39" s="34"/>
    </row>
    <row r="40" spans="1:28">
      <c r="A40" s="34"/>
      <c r="B40" s="294" t="s">
        <v>61</v>
      </c>
      <c r="C40" s="295"/>
      <c r="D40" s="296"/>
      <c r="E40" s="47">
        <v>0.08</v>
      </c>
      <c r="F40" s="48" t="s">
        <v>62</v>
      </c>
      <c r="G40" s="48"/>
      <c r="H40" s="170">
        <f>NPV(Vextir,B12:U12)</f>
        <v>2837684.7156411665</v>
      </c>
      <c r="I40" s="166" t="s">
        <v>123</v>
      </c>
      <c r="J40" s="46"/>
      <c r="K40" s="34"/>
      <c r="L40" s="34"/>
      <c r="M40" s="34"/>
      <c r="N40" s="34"/>
      <c r="O40" s="34"/>
      <c r="P40" s="34"/>
      <c r="Q40" s="34"/>
      <c r="R40" s="34"/>
    </row>
    <row r="41" spans="1:28">
      <c r="A41" s="34"/>
      <c r="B41" s="297" t="s">
        <v>63</v>
      </c>
      <c r="C41" s="298"/>
      <c r="D41" s="299"/>
      <c r="E41" s="49"/>
      <c r="F41" s="50"/>
      <c r="G41" s="50"/>
      <c r="H41" s="171">
        <f>NPV(Vextir,B38:U38)</f>
        <v>1242944.9509360315</v>
      </c>
      <c r="I41" s="167" t="s">
        <v>123</v>
      </c>
      <c r="J41" s="42"/>
      <c r="K41" s="34"/>
      <c r="L41" s="34"/>
      <c r="M41" s="34"/>
      <c r="N41" s="34"/>
      <c r="O41" s="34"/>
      <c r="P41" s="34"/>
      <c r="Q41" s="34"/>
      <c r="R41" s="34"/>
    </row>
    <row r="42" spans="1:28" ht="15" thickBot="1">
      <c r="A42" s="34"/>
      <c r="B42" s="300" t="s">
        <v>73</v>
      </c>
      <c r="C42" s="301"/>
      <c r="D42" s="302"/>
      <c r="E42" s="41"/>
      <c r="F42" s="51"/>
      <c r="G42" s="51"/>
      <c r="H42" s="172">
        <f>NPV(Vextir,B26:U26)+NPV(Vextir,B31:U31)</f>
        <v>1593662.947146836</v>
      </c>
      <c r="I42" s="168" t="s">
        <v>123</v>
      </c>
      <c r="J42" s="43"/>
      <c r="K42" s="34"/>
      <c r="L42" s="34"/>
      <c r="M42" s="34"/>
      <c r="N42" s="34"/>
      <c r="O42" s="34"/>
      <c r="P42" s="34"/>
      <c r="Q42" s="34"/>
      <c r="R42" s="34"/>
    </row>
    <row r="43" spans="1:28">
      <c r="A43" s="211" t="s">
        <v>187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  <row r="44" spans="1:28">
      <c r="A44" s="210" t="s">
        <v>188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</row>
    <row r="45" spans="1:28">
      <c r="A45" s="210" t="s">
        <v>197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28">
      <c r="A46" s="53" t="s">
        <v>98</v>
      </c>
      <c r="B46" s="38"/>
      <c r="C46" s="39"/>
      <c r="D46" s="39"/>
      <c r="E46" s="39"/>
      <c r="F46" s="39"/>
      <c r="G46" s="39"/>
      <c r="H46" s="39"/>
      <c r="I46" s="39"/>
      <c r="J46" s="39"/>
      <c r="K46" s="36"/>
      <c r="L46" s="36"/>
      <c r="M46" s="36"/>
      <c r="N46" s="36"/>
      <c r="O46" s="36"/>
      <c r="P46" s="36"/>
      <c r="Q46" s="36"/>
      <c r="R46" s="34"/>
    </row>
    <row r="47" spans="1:28" ht="16">
      <c r="A47" s="235" t="s">
        <v>115</v>
      </c>
      <c r="B47" s="235"/>
      <c r="C47" s="235"/>
      <c r="D47" s="235"/>
      <c r="E47" s="235"/>
      <c r="F47" s="235"/>
      <c r="G47" s="235"/>
      <c r="H47" s="235"/>
      <c r="I47" s="235"/>
      <c r="J47" s="235"/>
      <c r="K47" s="34"/>
      <c r="L47" s="34"/>
      <c r="M47" s="34"/>
      <c r="N47" s="34"/>
      <c r="O47" s="34"/>
      <c r="P47" s="34"/>
      <c r="Q47" s="36"/>
      <c r="R47" s="34"/>
    </row>
    <row r="48" spans="1:28" ht="16">
      <c r="A48" s="303" t="s">
        <v>91</v>
      </c>
      <c r="B48" s="303"/>
      <c r="C48" s="303"/>
      <c r="D48" s="303"/>
      <c r="E48" s="303"/>
      <c r="F48" s="303"/>
      <c r="G48" s="303"/>
      <c r="H48" s="303"/>
      <c r="I48" s="303"/>
      <c r="J48" s="303"/>
      <c r="K48" s="34"/>
      <c r="L48" s="34"/>
      <c r="M48" s="34"/>
      <c r="N48" s="34"/>
      <c r="O48" s="34"/>
      <c r="P48" s="34"/>
      <c r="Q48" s="34"/>
      <c r="R48" s="34"/>
    </row>
    <row r="49" spans="1:18" ht="15" customHeight="1">
      <c r="A49" s="234" t="s">
        <v>90</v>
      </c>
      <c r="B49" s="234"/>
      <c r="C49" s="234"/>
      <c r="D49" s="234"/>
      <c r="E49" s="234"/>
      <c r="F49" s="234"/>
      <c r="G49" s="234"/>
      <c r="H49" s="234"/>
      <c r="I49" s="234"/>
      <c r="J49" s="234"/>
      <c r="K49" s="34"/>
      <c r="L49" s="34"/>
      <c r="M49" s="34"/>
      <c r="N49" s="34"/>
      <c r="O49" s="34"/>
      <c r="P49" s="34"/>
      <c r="Q49" s="34"/>
      <c r="R49" s="34"/>
    </row>
    <row r="50" spans="1:18">
      <c r="A50" s="234"/>
      <c r="B50" s="234"/>
      <c r="C50" s="234"/>
      <c r="D50" s="234"/>
      <c r="E50" s="234"/>
      <c r="F50" s="234"/>
      <c r="G50" s="234"/>
      <c r="H50" s="234"/>
      <c r="I50" s="234"/>
      <c r="J50" s="234"/>
      <c r="K50" s="34"/>
      <c r="L50" s="34"/>
      <c r="M50" s="34"/>
      <c r="N50" s="34"/>
      <c r="O50" s="34"/>
      <c r="P50" s="34"/>
      <c r="Q50" s="34"/>
      <c r="R50" s="34"/>
    </row>
    <row r="51" spans="1:18">
      <c r="A51" s="234"/>
      <c r="B51" s="234"/>
      <c r="C51" s="234"/>
      <c r="D51" s="234"/>
      <c r="E51" s="234"/>
      <c r="F51" s="234"/>
      <c r="G51" s="234"/>
      <c r="H51" s="234"/>
      <c r="I51" s="234"/>
      <c r="J51" s="234"/>
      <c r="K51" s="34"/>
      <c r="L51" s="34"/>
      <c r="M51" s="34"/>
      <c r="N51" s="34"/>
      <c r="O51" s="34"/>
      <c r="P51" s="34"/>
      <c r="Q51" s="34"/>
      <c r="R51" s="34"/>
    </row>
    <row r="52" spans="1:18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  <row r="64" spans="1:18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18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1:18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1:18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</row>
    <row r="68" spans="1:18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</row>
    <row r="70" spans="1:18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</sheetData>
  <mergeCells count="8">
    <mergeCell ref="A1:V1"/>
    <mergeCell ref="B2:V2"/>
    <mergeCell ref="A49:J51"/>
    <mergeCell ref="B40:D40"/>
    <mergeCell ref="B41:D41"/>
    <mergeCell ref="B42:D42"/>
    <mergeCell ref="A47:J47"/>
    <mergeCell ref="A48:J48"/>
  </mergeCells>
  <dataValidations disablePrompts="1" count="2">
    <dataValidation type="whole" allowBlank="1" showInputMessage="1" showErrorMessage="1" errorTitle="Sláðu inn í þúsundum króna" error="Sláðu inn í þúsundum króna." sqref="B17:U19">
      <formula1>0</formula1>
      <formula2>200000</formula2>
    </dataValidation>
    <dataValidation type="whole" allowBlank="1" showInputMessage="1" showErrorMessage="1" errorTitle="Sláðu inn í þúsundum króna" error="Sláðu inn í þúsundum króna._x000a_Hámarksgildi er 5.000.000 þkr" sqref="B6:U11">
      <formula1>0</formula1>
      <formula2>5000000</formula2>
    </dataValidation>
  </dataValidations>
  <pageMargins left="0.25" right="0.25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A21" sqref="A21:N21"/>
    </sheetView>
  </sheetViews>
  <sheetFormatPr baseColWidth="10" defaultColWidth="8.83203125" defaultRowHeight="14" x14ac:dyDescent="0"/>
  <cols>
    <col min="9" max="9" width="8" customWidth="1"/>
    <col min="14" max="14" width="9.5" customWidth="1"/>
  </cols>
  <sheetData>
    <row r="1" spans="1:14" ht="21" thickBot="1">
      <c r="A1" s="305" t="s">
        <v>99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7"/>
    </row>
    <row r="2" spans="1:1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5" thickBo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308" t="s">
        <v>100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10"/>
    </row>
    <row r="5" spans="1:14" ht="15" thickBot="1">
      <c r="A5" s="311" t="s">
        <v>117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3"/>
    </row>
    <row r="6" spans="1:14">
      <c r="A6" s="212"/>
    </row>
    <row r="7" spans="1:14">
      <c r="A7" s="297" t="s">
        <v>191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</row>
    <row r="8" spans="1:14" ht="31.5" customHeight="1">
      <c r="A8" s="304" t="s">
        <v>199</v>
      </c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</row>
    <row r="9" spans="1:14">
      <c r="A9" s="297" t="s">
        <v>192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</row>
    <row r="10" spans="1:14" s="214" customFormat="1" ht="36.75" customHeight="1">
      <c r="A10" s="304" t="s">
        <v>200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</row>
    <row r="11" spans="1:14">
      <c r="A11" s="297" t="s">
        <v>193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</row>
    <row r="12" spans="1:14" ht="47.25" customHeight="1">
      <c r="A12" s="304" t="s">
        <v>198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</row>
    <row r="13" spans="1:14">
      <c r="A13" s="208" t="s">
        <v>195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</row>
    <row r="14" spans="1:14" ht="36" customHeight="1">
      <c r="A14" s="304" t="s">
        <v>201</v>
      </c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</row>
    <row r="15" spans="1:14">
      <c r="A15" s="297" t="s">
        <v>189</v>
      </c>
      <c r="B15" s="298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</row>
    <row r="16" spans="1:14">
      <c r="A16" s="213" t="s">
        <v>204</v>
      </c>
    </row>
    <row r="17" spans="1:14">
      <c r="A17" s="297" t="s">
        <v>183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</row>
    <row r="18" spans="1:14">
      <c r="A18" s="213" t="s">
        <v>205</v>
      </c>
    </row>
    <row r="20" spans="1:14">
      <c r="A20" s="208" t="s">
        <v>202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</row>
    <row r="21" spans="1:14" ht="24" customHeight="1">
      <c r="A21" s="304" t="s">
        <v>203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</row>
  </sheetData>
  <mergeCells count="13">
    <mergeCell ref="A7:N7"/>
    <mergeCell ref="A11:N11"/>
    <mergeCell ref="A8:N8"/>
    <mergeCell ref="A12:N12"/>
    <mergeCell ref="A1:N1"/>
    <mergeCell ref="A4:N4"/>
    <mergeCell ref="A5:N5"/>
    <mergeCell ref="A14:N14"/>
    <mergeCell ref="A9:N9"/>
    <mergeCell ref="A10:N10"/>
    <mergeCell ref="A21:N21"/>
    <mergeCell ref="A15:N15"/>
    <mergeCell ref="A17:N17"/>
  </mergeCells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showGridLines="0" workbookViewId="0">
      <selection activeCell="A14" sqref="A14:L14"/>
    </sheetView>
  </sheetViews>
  <sheetFormatPr baseColWidth="10" defaultColWidth="8.83203125" defaultRowHeight="14" outlineLevelCol="1" x14ac:dyDescent="0"/>
  <cols>
    <col min="1" max="1" width="19.83203125" customWidth="1"/>
    <col min="2" max="11" width="9.5" customWidth="1"/>
    <col min="12" max="12" width="10.83203125" hidden="1" customWidth="1" outlineLevel="1"/>
    <col min="13" max="21" width="9.1640625" hidden="1" customWidth="1" outlineLevel="1"/>
    <col min="22" max="22" width="11.1640625" customWidth="1" collapsed="1"/>
  </cols>
  <sheetData>
    <row r="1" spans="1:33" ht="23.25" customHeight="1">
      <c r="A1" s="316" t="s">
        <v>96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</row>
    <row r="2" spans="1:33" ht="15" thickBot="1">
      <c r="A2" s="34"/>
      <c r="B2" s="37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1:33" ht="15" thickBot="1">
      <c r="A3" s="52"/>
      <c r="B3" s="291" t="s">
        <v>37</v>
      </c>
      <c r="C3" s="292"/>
      <c r="D3" s="292"/>
      <c r="E3" s="292"/>
      <c r="F3" s="292"/>
      <c r="G3" s="292"/>
      <c r="H3" s="292"/>
      <c r="I3" s="292"/>
      <c r="J3" s="292"/>
      <c r="K3" s="292"/>
      <c r="L3" s="86"/>
      <c r="M3" s="85"/>
      <c r="N3" s="85"/>
      <c r="O3" s="85"/>
      <c r="P3" s="85"/>
      <c r="Q3" s="85"/>
      <c r="R3" s="85"/>
      <c r="S3" s="85"/>
      <c r="T3" s="85"/>
      <c r="U3" s="85"/>
      <c r="V3" s="5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</row>
    <row r="4" spans="1:33" ht="15" thickBot="1">
      <c r="A4" s="161"/>
      <c r="B4" s="70">
        <v>1</v>
      </c>
      <c r="C4" s="71">
        <v>2</v>
      </c>
      <c r="D4" s="71">
        <v>3</v>
      </c>
      <c r="E4" s="71">
        <v>4</v>
      </c>
      <c r="F4" s="71">
        <v>5</v>
      </c>
      <c r="G4" s="71">
        <v>6</v>
      </c>
      <c r="H4" s="71">
        <v>7</v>
      </c>
      <c r="I4" s="71">
        <v>8</v>
      </c>
      <c r="J4" s="71">
        <v>9</v>
      </c>
      <c r="K4" s="71">
        <v>10</v>
      </c>
      <c r="L4" s="71">
        <v>11</v>
      </c>
      <c r="M4" s="71">
        <v>12</v>
      </c>
      <c r="N4" s="71">
        <v>13</v>
      </c>
      <c r="O4" s="71">
        <v>14</v>
      </c>
      <c r="P4" s="71">
        <v>15</v>
      </c>
      <c r="Q4" s="71">
        <v>16</v>
      </c>
      <c r="R4" s="71">
        <v>17</v>
      </c>
      <c r="S4" s="71">
        <v>18</v>
      </c>
      <c r="T4" s="71">
        <v>19</v>
      </c>
      <c r="U4" s="71">
        <v>20</v>
      </c>
      <c r="V4" s="160" t="s">
        <v>41</v>
      </c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6">
      <c r="A5" s="76" t="s">
        <v>122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56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>
      <c r="A6" s="40" t="s">
        <v>141</v>
      </c>
      <c r="B6" s="79">
        <v>327000</v>
      </c>
      <c r="C6" s="79">
        <v>327000</v>
      </c>
      <c r="D6" s="79">
        <v>327000</v>
      </c>
      <c r="E6" s="79">
        <v>327000</v>
      </c>
      <c r="F6" s="79">
        <v>327000</v>
      </c>
      <c r="G6" s="79">
        <v>327000</v>
      </c>
      <c r="H6" s="79">
        <v>327000</v>
      </c>
      <c r="I6" s="79">
        <v>327000</v>
      </c>
      <c r="J6" s="79">
        <v>327000</v>
      </c>
      <c r="K6" s="79">
        <v>327000</v>
      </c>
      <c r="L6" s="78"/>
      <c r="M6" s="78"/>
      <c r="N6" s="79"/>
      <c r="O6" s="78"/>
      <c r="P6" s="78"/>
      <c r="Q6" s="78"/>
      <c r="R6" s="78"/>
      <c r="S6" s="78"/>
      <c r="T6" s="78"/>
      <c r="U6" s="78"/>
      <c r="V6" s="159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5" thickBot="1">
      <c r="A7" s="81" t="s">
        <v>41</v>
      </c>
      <c r="B7" s="82">
        <f t="shared" ref="B7:U7" si="0">SUM(B6:B6)</f>
        <v>327000</v>
      </c>
      <c r="C7" s="87">
        <f t="shared" si="0"/>
        <v>327000</v>
      </c>
      <c r="D7" s="83">
        <f t="shared" si="0"/>
        <v>327000</v>
      </c>
      <c r="E7" s="82">
        <f t="shared" si="0"/>
        <v>327000</v>
      </c>
      <c r="F7" s="82">
        <f t="shared" si="0"/>
        <v>327000</v>
      </c>
      <c r="G7" s="82">
        <f t="shared" si="0"/>
        <v>327000</v>
      </c>
      <c r="H7" s="82">
        <f t="shared" si="0"/>
        <v>327000</v>
      </c>
      <c r="I7" s="82">
        <f t="shared" si="0"/>
        <v>327000</v>
      </c>
      <c r="J7" s="82">
        <f t="shared" si="0"/>
        <v>327000</v>
      </c>
      <c r="K7" s="82">
        <f t="shared" si="0"/>
        <v>327000</v>
      </c>
      <c r="L7" s="82">
        <f t="shared" si="0"/>
        <v>0</v>
      </c>
      <c r="M7" s="82">
        <f t="shared" si="0"/>
        <v>0</v>
      </c>
      <c r="N7" s="83">
        <f t="shared" si="0"/>
        <v>0</v>
      </c>
      <c r="O7" s="82">
        <f t="shared" si="0"/>
        <v>0</v>
      </c>
      <c r="P7" s="82">
        <f t="shared" si="0"/>
        <v>0</v>
      </c>
      <c r="Q7" s="82">
        <f t="shared" si="0"/>
        <v>0</v>
      </c>
      <c r="R7" s="82">
        <f t="shared" si="0"/>
        <v>0</v>
      </c>
      <c r="S7" s="82">
        <f t="shared" si="0"/>
        <v>0</v>
      </c>
      <c r="T7" s="82">
        <f t="shared" si="0"/>
        <v>0</v>
      </c>
      <c r="U7" s="82">
        <f t="shared" si="0"/>
        <v>0</v>
      </c>
      <c r="V7" s="84">
        <f>SUM(B7:U7)</f>
        <v>3270000</v>
      </c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5" thickBo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5" thickBot="1">
      <c r="A10" s="34"/>
      <c r="B10" s="59" t="s">
        <v>76</v>
      </c>
      <c r="C10" s="60"/>
      <c r="D10" s="61"/>
      <c r="E10" s="62">
        <v>0.08</v>
      </c>
      <c r="F10" s="60" t="s">
        <v>62</v>
      </c>
      <c r="G10" s="61"/>
      <c r="H10" s="75">
        <f>NPV(Vextir,B7:U7)</f>
        <v>2194196.6174538513</v>
      </c>
      <c r="I10" s="169" t="s">
        <v>123</v>
      </c>
      <c r="J10" s="61"/>
      <c r="K10" s="34"/>
      <c r="L10" s="34"/>
      <c r="M10" s="34"/>
      <c r="N10" s="34"/>
      <c r="O10" s="34"/>
      <c r="P10" s="34"/>
      <c r="Q10" s="34"/>
      <c r="R10" s="34"/>
      <c r="S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>
      <c r="A12" s="34"/>
      <c r="B12" s="34"/>
      <c r="C12" s="34"/>
      <c r="D12" s="34"/>
      <c r="E12" s="34"/>
      <c r="F12" s="34"/>
      <c r="G12" s="34"/>
      <c r="H12" s="34"/>
      <c r="I12" s="36"/>
      <c r="J12" s="34"/>
      <c r="K12" s="34"/>
      <c r="L12" s="34"/>
      <c r="M12" s="34"/>
      <c r="N12" s="34"/>
      <c r="O12" s="34"/>
      <c r="P12" s="34"/>
      <c r="Q12" s="36"/>
      <c r="R12" s="34"/>
      <c r="S12" s="34"/>
      <c r="T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>
      <c r="A13" s="34"/>
      <c r="B13" s="34"/>
      <c r="C13" s="34"/>
      <c r="D13" s="34"/>
      <c r="E13" s="34"/>
      <c r="F13" s="58"/>
      <c r="G13" s="34"/>
      <c r="H13" s="34"/>
      <c r="I13" s="36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>
      <c r="A14" s="315" t="s">
        <v>98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4"/>
      <c r="N14" s="34"/>
      <c r="O14" s="34"/>
      <c r="P14" s="34"/>
      <c r="Q14" s="34"/>
      <c r="R14" s="34"/>
      <c r="S14" s="34"/>
      <c r="T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5" customHeight="1">
      <c r="A15" s="314" t="s">
        <v>97</v>
      </c>
      <c r="B15" s="314"/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4"/>
      <c r="N15" s="34"/>
      <c r="O15" s="34"/>
      <c r="P15" s="34"/>
      <c r="Q15" s="34"/>
      <c r="R15" s="34"/>
      <c r="S15" s="34"/>
      <c r="T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>
      <c r="A16" s="314"/>
      <c r="B16" s="314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4"/>
      <c r="N16" s="34"/>
      <c r="O16" s="34"/>
      <c r="P16" s="34"/>
      <c r="Q16" s="34"/>
      <c r="R16" s="34"/>
      <c r="S16" s="34"/>
      <c r="T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>
      <c r="A17" s="314"/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4"/>
      <c r="N17" s="34"/>
      <c r="O17" s="34"/>
      <c r="P17" s="34"/>
      <c r="Q17" s="34"/>
      <c r="R17" s="34"/>
      <c r="S17" s="34"/>
      <c r="T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5" customHeight="1">
      <c r="A18" s="314"/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4"/>
      <c r="N18" s="34"/>
      <c r="O18" s="34"/>
      <c r="P18" s="34"/>
      <c r="Q18" s="34"/>
      <c r="R18" s="34"/>
      <c r="S18" s="34"/>
      <c r="T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>
      <c r="A19" s="314" t="s">
        <v>116</v>
      </c>
      <c r="B19" s="314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4"/>
      <c r="N19" s="34"/>
      <c r="O19" s="34"/>
      <c r="P19" s="34"/>
      <c r="Q19" s="34"/>
      <c r="R19" s="34"/>
      <c r="S19" s="34"/>
      <c r="T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>
      <c r="A20" s="314"/>
      <c r="B20" s="314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4"/>
      <c r="N20" s="34"/>
      <c r="O20" s="34"/>
      <c r="P20" s="34"/>
      <c r="Q20" s="34"/>
      <c r="R20" s="34"/>
      <c r="S20" s="34"/>
      <c r="T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>
      <c r="A21" s="314"/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4"/>
      <c r="N21" s="34"/>
      <c r="O21" s="34"/>
      <c r="P21" s="34"/>
      <c r="Q21" s="34"/>
      <c r="R21" s="34"/>
      <c r="S21" s="34"/>
      <c r="T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</sheetData>
  <mergeCells count="5">
    <mergeCell ref="A19:L21"/>
    <mergeCell ref="A15:L18"/>
    <mergeCell ref="A14:L14"/>
    <mergeCell ref="B3:K3"/>
    <mergeCell ref="A1:V1"/>
  </mergeCells>
  <dataValidations count="1">
    <dataValidation type="decimal" allowBlank="1" showInputMessage="1" showErrorMessage="1" errorTitle="Sláðu inn í þúsundum króna" error="Sláðu inn í þúsundum króna._x000a_Hámarksgildi er 5.000.000 þkr." sqref="B6:U6">
      <formula1>0</formula1>
      <formula2>5000000</formula2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A13" sqref="A13:N13"/>
    </sheetView>
  </sheetViews>
  <sheetFormatPr baseColWidth="10" defaultColWidth="8.83203125" defaultRowHeight="14" x14ac:dyDescent="0"/>
  <cols>
    <col min="6" max="6" width="8.5" customWidth="1"/>
    <col min="9" max="10" width="8" customWidth="1"/>
    <col min="14" max="14" width="9.5" customWidth="1"/>
  </cols>
  <sheetData>
    <row r="1" spans="1:15" ht="21" thickBot="1">
      <c r="A1" s="305" t="s">
        <v>101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7"/>
    </row>
    <row r="2" spans="1:15" ht="15" thickBo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5" ht="15" customHeight="1">
      <c r="A3" s="320" t="s">
        <v>118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2"/>
    </row>
    <row r="4" spans="1:15">
      <c r="A4" s="323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5"/>
    </row>
    <row r="5" spans="1:15" ht="15" thickBot="1">
      <c r="A5" s="326"/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8"/>
    </row>
    <row r="6" spans="1: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5" ht="15" thickBo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5">
      <c r="A8" s="308" t="s">
        <v>102</v>
      </c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10"/>
    </row>
    <row r="9" spans="1:15" ht="15" thickBot="1">
      <c r="A9" s="311" t="s">
        <v>117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3"/>
    </row>
    <row r="10" spans="1:15" ht="46" customHeight="1">
      <c r="A10" s="329" t="s">
        <v>142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</row>
    <row r="11" spans="1:15" ht="18" customHeight="1">
      <c r="A11" s="318" t="s">
        <v>143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183" t="s">
        <v>144</v>
      </c>
    </row>
    <row r="12" spans="1:15" ht="17" customHeight="1">
      <c r="A12" s="318" t="s">
        <v>145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</row>
    <row r="13" spans="1:15" ht="28" customHeight="1">
      <c r="A13" s="319" t="s">
        <v>146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</row>
    <row r="14" spans="1:15" ht="30" customHeight="1">
      <c r="A14" s="319" t="s">
        <v>147</v>
      </c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</row>
    <row r="15" spans="1:15" ht="30" customHeight="1">
      <c r="A15" s="319" t="s">
        <v>148</v>
      </c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</row>
  </sheetData>
  <mergeCells count="10">
    <mergeCell ref="A1:N1"/>
    <mergeCell ref="A8:N8"/>
    <mergeCell ref="A9:N9"/>
    <mergeCell ref="A3:N5"/>
    <mergeCell ref="A10:N10"/>
    <mergeCell ref="A11:N11"/>
    <mergeCell ref="A12:N12"/>
    <mergeCell ref="A13:N13"/>
    <mergeCell ref="A14:N14"/>
    <mergeCell ref="A15:N15"/>
  </mergeCells>
  <hyperlinks>
    <hyperlink ref="O11" r:id="rId1" display="SLÓÐ"/>
  </hyperlinks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showGridLines="0" workbookViewId="0">
      <selection activeCell="A18" sqref="A18:F18"/>
    </sheetView>
  </sheetViews>
  <sheetFormatPr baseColWidth="10" defaultColWidth="8.83203125" defaultRowHeight="14" x14ac:dyDescent="0"/>
  <cols>
    <col min="2" max="2" width="15.1640625" customWidth="1"/>
    <col min="3" max="5" width="10.6640625" customWidth="1"/>
    <col min="6" max="6" width="13.5" customWidth="1"/>
    <col min="8" max="22" width="8.83203125" style="1"/>
  </cols>
  <sheetData>
    <row r="1" spans="1:22" ht="21" thickBot="1">
      <c r="A1" s="330" t="s">
        <v>85</v>
      </c>
      <c r="B1" s="331"/>
      <c r="C1" s="331"/>
      <c r="D1" s="331"/>
      <c r="E1" s="331"/>
      <c r="F1" s="332"/>
      <c r="G1" s="1"/>
      <c r="O1"/>
      <c r="P1"/>
      <c r="Q1"/>
      <c r="R1"/>
      <c r="S1"/>
      <c r="T1"/>
      <c r="U1"/>
      <c r="V1"/>
    </row>
    <row r="2" spans="1:22">
      <c r="A2" s="1"/>
      <c r="B2" s="1"/>
      <c r="C2" s="1"/>
      <c r="D2" s="1"/>
      <c r="E2" s="1"/>
      <c r="F2" s="1"/>
      <c r="G2" s="1"/>
    </row>
    <row r="3" spans="1:22">
      <c r="A3" s="1"/>
      <c r="B3" s="1"/>
      <c r="C3" s="1"/>
      <c r="D3" s="1"/>
      <c r="E3" s="1"/>
      <c r="F3" s="1"/>
      <c r="G3" s="1"/>
    </row>
    <row r="4" spans="1:22">
      <c r="A4" s="1"/>
      <c r="B4" s="1"/>
      <c r="C4" s="1"/>
      <c r="D4" s="1"/>
      <c r="E4" s="1"/>
      <c r="F4" s="1"/>
      <c r="G4" s="1"/>
    </row>
    <row r="5" spans="1:22">
      <c r="A5" s="1"/>
      <c r="B5" s="1"/>
      <c r="C5" s="1"/>
      <c r="D5" s="1"/>
      <c r="E5" s="1"/>
      <c r="F5" s="1"/>
      <c r="G5" s="1"/>
    </row>
    <row r="6" spans="1:22" ht="25" customHeight="1">
      <c r="A6" s="26" t="s">
        <v>85</v>
      </c>
      <c r="B6" s="27"/>
      <c r="C6" s="28" t="s">
        <v>38</v>
      </c>
      <c r="D6" s="28" t="s">
        <v>40</v>
      </c>
      <c r="E6" s="28" t="s">
        <v>39</v>
      </c>
      <c r="F6" s="29" t="s">
        <v>41</v>
      </c>
      <c r="G6" s="1"/>
    </row>
    <row r="7" spans="1:22">
      <c r="A7" s="333" t="s">
        <v>54</v>
      </c>
      <c r="B7" s="333"/>
      <c r="C7" s="32">
        <f>Rekstur!B12</f>
        <v>28500</v>
      </c>
      <c r="D7" s="32">
        <f>Rekstur!C12</f>
        <v>102600</v>
      </c>
      <c r="E7" s="32">
        <f>Rekstur!D12</f>
        <v>206999</v>
      </c>
      <c r="F7" s="32">
        <f>SUM(C7:E7)</f>
        <v>338099</v>
      </c>
      <c r="G7" s="1"/>
    </row>
    <row r="8" spans="1:22">
      <c r="A8" s="333" t="s">
        <v>68</v>
      </c>
      <c r="B8" s="333"/>
      <c r="C8" s="32">
        <f>Rekstur!B36</f>
        <v>45665</v>
      </c>
      <c r="D8" s="32">
        <f>Rekstur!C36</f>
        <v>75204</v>
      </c>
      <c r="E8" s="32">
        <f>Rekstur!D36</f>
        <v>105481</v>
      </c>
      <c r="F8" s="32">
        <f>SUM(C8:E8)</f>
        <v>226350</v>
      </c>
      <c r="G8" s="1"/>
    </row>
    <row r="9" spans="1:22">
      <c r="A9" s="333" t="s">
        <v>120</v>
      </c>
      <c r="B9" s="333"/>
      <c r="C9" s="3">
        <v>30781</v>
      </c>
      <c r="D9" s="3">
        <v>63835</v>
      </c>
      <c r="E9" s="9">
        <v>72426</v>
      </c>
      <c r="F9" s="32">
        <f>SUM(C9:E9)</f>
        <v>167042</v>
      </c>
      <c r="G9" s="1"/>
    </row>
    <row r="10" spans="1:22">
      <c r="A10" s="333" t="s">
        <v>69</v>
      </c>
      <c r="B10" s="333"/>
      <c r="C10" s="2">
        <v>0</v>
      </c>
      <c r="D10" s="2">
        <v>0</v>
      </c>
      <c r="E10" s="2">
        <v>0</v>
      </c>
      <c r="F10" s="32">
        <f>SUM(C10:E10)</f>
        <v>0</v>
      </c>
      <c r="G10" s="1"/>
    </row>
    <row r="11" spans="1:22">
      <c r="A11" s="333" t="s">
        <v>70</v>
      </c>
      <c r="B11" s="333"/>
      <c r="C11" s="2">
        <v>12500</v>
      </c>
      <c r="D11" s="2">
        <v>9000</v>
      </c>
      <c r="E11" s="2">
        <v>8500</v>
      </c>
      <c r="F11" s="32">
        <f>SUM(C11:E11)</f>
        <v>30000</v>
      </c>
      <c r="G11" s="1"/>
    </row>
    <row r="12" spans="1:22">
      <c r="A12" s="333" t="s">
        <v>71</v>
      </c>
      <c r="B12" s="333"/>
      <c r="C12" s="33">
        <f>C7-C8+C9+C10+C11</f>
        <v>26116</v>
      </c>
      <c r="D12" s="33">
        <f>D7-D8+D9+D10+D11</f>
        <v>100231</v>
      </c>
      <c r="E12" s="33">
        <f>E7-E8+E9+E10+E11</f>
        <v>182444</v>
      </c>
      <c r="F12" s="33">
        <f>F7-F8+F9+F10+F11</f>
        <v>308791</v>
      </c>
      <c r="G12" s="1"/>
    </row>
    <row r="13" spans="1:22">
      <c r="A13" s="1"/>
      <c r="B13" s="1"/>
      <c r="C13" s="1"/>
      <c r="D13" s="1"/>
      <c r="E13" s="1"/>
      <c r="F13" s="1"/>
      <c r="G13" s="1"/>
    </row>
    <row r="14" spans="1:22" ht="20" customHeight="1">
      <c r="A14" s="26" t="s">
        <v>78</v>
      </c>
      <c r="B14" s="27"/>
      <c r="C14" s="27"/>
      <c r="D14" s="27"/>
      <c r="E14" s="30">
        <f>Rekstur!H40</f>
        <v>2837684.7156411665</v>
      </c>
      <c r="F14" s="176" t="s">
        <v>121</v>
      </c>
      <c r="G14" s="1"/>
    </row>
    <row r="15" spans="1:22" ht="10" customHeight="1">
      <c r="A15" s="1"/>
      <c r="B15" s="1"/>
      <c r="C15" s="1"/>
      <c r="D15" s="1"/>
      <c r="E15" s="1"/>
      <c r="F15" s="1"/>
      <c r="G15" s="1"/>
    </row>
    <row r="16" spans="1:22" ht="20" customHeight="1">
      <c r="A16" s="26" t="s">
        <v>72</v>
      </c>
      <c r="B16" s="31"/>
      <c r="C16" s="31"/>
      <c r="D16" s="31"/>
      <c r="E16" s="30">
        <f>Rekstur!H41</f>
        <v>1242944.9509360315</v>
      </c>
      <c r="F16" s="176" t="s">
        <v>121</v>
      </c>
      <c r="G16" s="1"/>
    </row>
    <row r="17" spans="1:7" ht="10" customHeight="1">
      <c r="A17" s="1"/>
      <c r="B17" s="1"/>
      <c r="C17" s="1"/>
      <c r="D17" s="1"/>
      <c r="E17" s="1"/>
      <c r="F17" s="1"/>
      <c r="G17" s="1"/>
    </row>
    <row r="18" spans="1:7" ht="20" customHeight="1">
      <c r="A18" s="26" t="s">
        <v>77</v>
      </c>
      <c r="B18" s="31"/>
      <c r="C18" s="31"/>
      <c r="D18" s="31"/>
      <c r="E18" s="30">
        <f>'Innlend verðmæti'!H10</f>
        <v>2194196.6174538513</v>
      </c>
      <c r="F18" s="176" t="s">
        <v>121</v>
      </c>
      <c r="G18" s="1"/>
    </row>
    <row r="19" spans="1:7" ht="10" customHeight="1">
      <c r="A19" s="1"/>
      <c r="B19" s="1"/>
      <c r="C19" s="1"/>
      <c r="D19" s="1"/>
      <c r="E19" s="1"/>
      <c r="F19" s="1"/>
      <c r="G19" s="1"/>
    </row>
    <row r="20" spans="1:7" ht="10" customHeight="1">
      <c r="A20" s="1"/>
      <c r="B20" s="1"/>
      <c r="C20" s="1"/>
      <c r="D20" s="1"/>
      <c r="E20" s="1"/>
      <c r="F20" s="1"/>
      <c r="G20" s="1"/>
    </row>
    <row r="21" spans="1:7" ht="10" customHeight="1">
      <c r="A21" s="1"/>
      <c r="B21" s="1"/>
      <c r="C21" s="1"/>
      <c r="D21" s="1"/>
      <c r="E21" s="1" t="s">
        <v>79</v>
      </c>
      <c r="F21" s="1"/>
      <c r="G21" s="1"/>
    </row>
    <row r="22" spans="1:7">
      <c r="A22" s="315" t="s">
        <v>98</v>
      </c>
      <c r="B22" s="315"/>
      <c r="C22" s="315"/>
      <c r="D22" s="315"/>
      <c r="E22" s="315"/>
      <c r="F22" s="315"/>
      <c r="G22" s="1"/>
    </row>
    <row r="23" spans="1:7">
      <c r="A23" s="314" t="s">
        <v>128</v>
      </c>
      <c r="B23" s="314"/>
      <c r="C23" s="314"/>
      <c r="D23" s="314"/>
      <c r="E23" s="314"/>
      <c r="F23" s="314"/>
      <c r="G23" s="1"/>
    </row>
    <row r="24" spans="1:7">
      <c r="A24" s="314"/>
      <c r="B24" s="314"/>
      <c r="C24" s="314"/>
      <c r="D24" s="314"/>
      <c r="E24" s="314"/>
      <c r="F24" s="314"/>
      <c r="G24" s="1"/>
    </row>
    <row r="25" spans="1:7">
      <c r="A25" s="1"/>
      <c r="B25" s="1"/>
      <c r="C25" s="1"/>
      <c r="D25" s="1"/>
      <c r="E25" s="1"/>
      <c r="F25" s="1"/>
      <c r="G25" s="1"/>
    </row>
    <row r="26" spans="1:7">
      <c r="A26" s="1"/>
      <c r="B26" s="1"/>
      <c r="C26" s="1"/>
      <c r="D26" s="1"/>
      <c r="E26" s="1"/>
      <c r="F26" s="1"/>
      <c r="G26" s="1"/>
    </row>
    <row r="27" spans="1:7">
      <c r="A27" s="1"/>
      <c r="B27" s="1"/>
      <c r="C27" s="1"/>
      <c r="D27" s="1"/>
      <c r="E27" s="1"/>
      <c r="F27" s="1"/>
      <c r="G27" s="1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"/>
      <c r="B31" s="1"/>
      <c r="C31" s="1"/>
      <c r="D31" s="1"/>
      <c r="E31" s="1"/>
      <c r="F31" s="1"/>
      <c r="G31" s="1"/>
    </row>
    <row r="32" spans="1:7">
      <c r="A32" s="1"/>
      <c r="B32" s="1"/>
      <c r="C32" s="1"/>
      <c r="D32" s="1"/>
      <c r="E32" s="1"/>
      <c r="F32" s="1"/>
      <c r="G32" s="1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>
      <c r="A36" s="1"/>
      <c r="B36" s="1"/>
      <c r="C36" s="1"/>
      <c r="D36" s="1"/>
      <c r="E36" s="1"/>
      <c r="F36" s="1"/>
      <c r="G36" s="1"/>
    </row>
    <row r="37" spans="1:7">
      <c r="A37" s="1"/>
      <c r="B37" s="1"/>
      <c r="C37" s="1"/>
      <c r="D37" s="1"/>
      <c r="E37" s="1"/>
      <c r="F37" s="1"/>
      <c r="G37" s="1"/>
    </row>
    <row r="38" spans="1:7">
      <c r="A38" s="1"/>
      <c r="B38" s="1"/>
      <c r="C38" s="1"/>
      <c r="D38" s="1"/>
      <c r="E38" s="1"/>
      <c r="F38" s="1"/>
      <c r="G38" s="1"/>
    </row>
    <row r="39" spans="1:7">
      <c r="A39" s="1"/>
      <c r="B39" s="1"/>
      <c r="C39" s="1"/>
      <c r="D39" s="1"/>
      <c r="E39" s="1"/>
      <c r="F39" s="1"/>
      <c r="G39" s="1"/>
    </row>
    <row r="40" spans="1:7">
      <c r="A40" s="1"/>
      <c r="B40" s="1"/>
      <c r="C40" s="1"/>
      <c r="D40" s="1"/>
      <c r="E40" s="1"/>
      <c r="F40" s="1"/>
      <c r="G40" s="1"/>
    </row>
    <row r="41" spans="1:7">
      <c r="A41" s="1"/>
      <c r="B41" s="1"/>
      <c r="C41" s="1"/>
      <c r="D41" s="1"/>
      <c r="E41" s="1"/>
      <c r="F41" s="1"/>
      <c r="G41" s="1"/>
    </row>
    <row r="42" spans="1:7">
      <c r="A42" s="1"/>
      <c r="B42" s="1"/>
      <c r="C42" s="1"/>
      <c r="D42" s="1"/>
      <c r="E42" s="1"/>
      <c r="F42" s="1"/>
      <c r="G42" s="1"/>
    </row>
    <row r="43" spans="1:7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  <c r="G44" s="1"/>
    </row>
    <row r="45" spans="1:7">
      <c r="A45" s="1"/>
      <c r="B45" s="1"/>
      <c r="C45" s="1"/>
      <c r="D45" s="1"/>
      <c r="E45" s="1"/>
      <c r="F45" s="1"/>
      <c r="G45" s="1"/>
    </row>
    <row r="46" spans="1:7">
      <c r="A46" s="1"/>
      <c r="B46" s="1"/>
      <c r="C46" s="1"/>
      <c r="D46" s="1"/>
      <c r="E46" s="1"/>
      <c r="F46" s="1"/>
      <c r="G46" s="1"/>
    </row>
    <row r="47" spans="1:7">
      <c r="A47" s="1"/>
      <c r="B47" s="1"/>
      <c r="C47" s="1"/>
      <c r="D47" s="1"/>
      <c r="E47" s="1"/>
      <c r="F47" s="1"/>
      <c r="G47" s="1"/>
    </row>
    <row r="48" spans="1:7">
      <c r="A48" s="1"/>
      <c r="B48" s="1"/>
      <c r="C48" s="1"/>
      <c r="D48" s="1"/>
      <c r="E48" s="1"/>
      <c r="F48" s="1"/>
      <c r="G48" s="1"/>
    </row>
    <row r="49" spans="1:7">
      <c r="A49" s="1"/>
      <c r="B49" s="1"/>
      <c r="C49" s="1"/>
      <c r="D49" s="1"/>
      <c r="E49" s="1"/>
      <c r="F49" s="1"/>
      <c r="G49" s="1"/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1"/>
      <c r="C51" s="1"/>
      <c r="D51" s="1"/>
      <c r="E51" s="1"/>
      <c r="F51" s="1"/>
      <c r="G51" s="1"/>
    </row>
    <row r="52" spans="1:7">
      <c r="A52" s="1"/>
      <c r="B52" s="1"/>
      <c r="C52" s="1"/>
      <c r="D52" s="1"/>
      <c r="E52" s="1"/>
      <c r="F52" s="1"/>
      <c r="G52" s="1"/>
    </row>
    <row r="53" spans="1:7">
      <c r="A53" s="1"/>
      <c r="B53" s="1"/>
      <c r="C53" s="1"/>
      <c r="D53" s="1"/>
      <c r="E53" s="1"/>
      <c r="F53" s="1"/>
      <c r="G53" s="1"/>
    </row>
    <row r="54" spans="1:7">
      <c r="A54" s="1"/>
      <c r="B54" s="1"/>
      <c r="C54" s="1"/>
      <c r="D54" s="1"/>
      <c r="E54" s="1"/>
      <c r="F54" s="1"/>
      <c r="G54" s="1"/>
    </row>
    <row r="55" spans="1:7">
      <c r="A55" s="1"/>
      <c r="B55" s="1"/>
      <c r="C55" s="1"/>
      <c r="D55" s="1"/>
      <c r="E55" s="1"/>
      <c r="F55" s="1"/>
      <c r="G55" s="1"/>
    </row>
    <row r="56" spans="1:7">
      <c r="A56" s="1"/>
      <c r="B56" s="1"/>
      <c r="C56" s="1"/>
      <c r="D56" s="1"/>
      <c r="E56" s="1"/>
      <c r="F56" s="1"/>
      <c r="G56" s="1"/>
    </row>
    <row r="57" spans="1:7">
      <c r="A57" s="1"/>
      <c r="B57" s="1"/>
      <c r="C57" s="1"/>
      <c r="D57" s="1"/>
      <c r="E57" s="1"/>
      <c r="F57" s="1"/>
      <c r="G57" s="1"/>
    </row>
    <row r="58" spans="1:7">
      <c r="A58" s="1"/>
      <c r="B58" s="1"/>
      <c r="C58" s="1"/>
      <c r="D58" s="1"/>
      <c r="E58" s="1"/>
      <c r="F58" s="1"/>
      <c r="G58" s="1"/>
    </row>
    <row r="59" spans="1:7">
      <c r="A59" s="1"/>
      <c r="B59" s="1"/>
      <c r="C59" s="1"/>
      <c r="D59" s="1"/>
      <c r="E59" s="1"/>
      <c r="F59" s="1"/>
      <c r="G59" s="1"/>
    </row>
    <row r="60" spans="1:7">
      <c r="A60" s="1"/>
      <c r="B60" s="1"/>
      <c r="C60" s="1"/>
      <c r="D60" s="1"/>
      <c r="E60" s="1"/>
      <c r="F60" s="1"/>
      <c r="G60" s="1"/>
    </row>
    <row r="61" spans="1:7">
      <c r="A61" s="1"/>
      <c r="B61" s="1"/>
      <c r="C61" s="1"/>
      <c r="D61" s="1"/>
      <c r="E61" s="1"/>
      <c r="F61" s="1"/>
      <c r="G61" s="1"/>
    </row>
    <row r="62" spans="1:7">
      <c r="A62" s="1"/>
      <c r="B62" s="1"/>
      <c r="C62" s="1"/>
      <c r="D62" s="1"/>
      <c r="E62" s="1"/>
      <c r="F62" s="1"/>
      <c r="G62" s="1"/>
    </row>
    <row r="63" spans="1:7">
      <c r="A63" s="1"/>
      <c r="B63" s="1"/>
      <c r="C63" s="1"/>
      <c r="D63" s="1"/>
      <c r="E63" s="1"/>
      <c r="F63" s="1"/>
      <c r="G63" s="1"/>
    </row>
    <row r="64" spans="1:7">
      <c r="A64" s="1"/>
      <c r="B64" s="1"/>
      <c r="C64" s="1"/>
      <c r="D64" s="1"/>
      <c r="E64" s="1"/>
      <c r="F64" s="1"/>
      <c r="G64" s="1"/>
    </row>
    <row r="65" spans="1:7">
      <c r="A65" s="1"/>
      <c r="B65" s="1"/>
      <c r="C65" s="1"/>
      <c r="D65" s="1"/>
      <c r="E65" s="1"/>
      <c r="F65" s="1"/>
      <c r="G65" s="1"/>
    </row>
    <row r="66" spans="1:7">
      <c r="A66" s="1"/>
      <c r="B66" s="1"/>
      <c r="C66" s="1"/>
      <c r="D66" s="1"/>
      <c r="E66" s="1"/>
      <c r="F66" s="1"/>
      <c r="G66" s="1"/>
    </row>
    <row r="67" spans="1:7">
      <c r="A67" s="1"/>
      <c r="B67" s="1"/>
      <c r="C67" s="1"/>
      <c r="D67" s="1"/>
      <c r="E67" s="1"/>
      <c r="F67" s="1"/>
      <c r="G67" s="1"/>
    </row>
    <row r="68" spans="1:7">
      <c r="A68" s="1"/>
      <c r="B68" s="1"/>
      <c r="C68" s="1"/>
      <c r="D68" s="1"/>
      <c r="E68" s="1"/>
      <c r="F68" s="1"/>
      <c r="G68" s="1"/>
    </row>
    <row r="69" spans="1:7">
      <c r="A69" s="1"/>
      <c r="B69" s="1"/>
      <c r="C69" s="1"/>
      <c r="D69" s="1"/>
      <c r="E69" s="1"/>
      <c r="F69" s="1"/>
      <c r="G69" s="1"/>
    </row>
    <row r="70" spans="1:7">
      <c r="A70" s="1"/>
      <c r="B70" s="1"/>
      <c r="C70" s="1"/>
      <c r="D70" s="1"/>
      <c r="E70" s="1"/>
      <c r="F70" s="1"/>
      <c r="G70" s="1"/>
    </row>
    <row r="71" spans="1:7">
      <c r="A71" s="1"/>
      <c r="B71" s="1"/>
      <c r="C71" s="1"/>
      <c r="D71" s="1"/>
      <c r="E71" s="1"/>
      <c r="F71" s="1"/>
      <c r="G71" s="1"/>
    </row>
    <row r="72" spans="1:7">
      <c r="A72" s="1"/>
      <c r="B72" s="1"/>
      <c r="C72" s="1"/>
      <c r="D72" s="1"/>
      <c r="E72" s="1"/>
      <c r="F72" s="1"/>
      <c r="G72" s="1"/>
    </row>
    <row r="73" spans="1:7">
      <c r="A73" s="1"/>
      <c r="B73" s="1"/>
      <c r="C73" s="1"/>
      <c r="D73" s="1"/>
      <c r="E73" s="1"/>
      <c r="F73" s="1"/>
      <c r="G73" s="1"/>
    </row>
    <row r="74" spans="1:7">
      <c r="A74" s="1"/>
      <c r="B74" s="1"/>
      <c r="C74" s="1"/>
      <c r="D74" s="1"/>
      <c r="E74" s="1"/>
      <c r="F74" s="1"/>
      <c r="G74" s="1"/>
    </row>
    <row r="75" spans="1:7">
      <c r="A75" s="1"/>
      <c r="B75" s="1"/>
      <c r="C75" s="1"/>
      <c r="D75" s="1"/>
      <c r="E75" s="1"/>
      <c r="F75" s="1"/>
      <c r="G75" s="1"/>
    </row>
    <row r="76" spans="1:7">
      <c r="A76" s="1"/>
      <c r="B76" s="1"/>
      <c r="C76" s="1"/>
      <c r="D76" s="1"/>
      <c r="E76" s="1"/>
      <c r="F76" s="1"/>
      <c r="G76" s="1"/>
    </row>
    <row r="77" spans="1:7">
      <c r="A77" s="1"/>
      <c r="B77" s="1"/>
      <c r="C77" s="1"/>
      <c r="D77" s="1"/>
      <c r="E77" s="1"/>
      <c r="F77" s="1"/>
      <c r="G77" s="1"/>
    </row>
    <row r="78" spans="1:7">
      <c r="A78" s="1"/>
      <c r="B78" s="1"/>
      <c r="C78" s="1"/>
      <c r="D78" s="1"/>
      <c r="E78" s="1"/>
      <c r="F78" s="1"/>
      <c r="G78" s="1"/>
    </row>
    <row r="79" spans="1:7">
      <c r="A79" s="1"/>
      <c r="B79" s="1"/>
      <c r="C79" s="1"/>
      <c r="D79" s="1"/>
      <c r="E79" s="1"/>
      <c r="F79" s="1"/>
      <c r="G79" s="1"/>
    </row>
    <row r="80" spans="1:7">
      <c r="A80" s="1"/>
      <c r="B80" s="1"/>
      <c r="C80" s="1"/>
      <c r="D80" s="1"/>
      <c r="E80" s="1"/>
      <c r="F80" s="1"/>
      <c r="G80" s="1"/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1"/>
      <c r="C82" s="1"/>
      <c r="D82" s="1"/>
      <c r="E82" s="1"/>
      <c r="F82" s="1"/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</sheetData>
  <mergeCells count="9">
    <mergeCell ref="A1:F1"/>
    <mergeCell ref="A23:F24"/>
    <mergeCell ref="A22:F22"/>
    <mergeCell ref="A12:B12"/>
    <mergeCell ref="A7:B7"/>
    <mergeCell ref="A8:B8"/>
    <mergeCell ref="A9:B9"/>
    <mergeCell ref="A10:B10"/>
    <mergeCell ref="A11:B11"/>
  </mergeCells>
  <dataValidations count="1">
    <dataValidation type="whole" allowBlank="1" showInputMessage="1" showErrorMessage="1" errorTitle="Sláðu inn í þúsundum króna" error="Allar upphæðir eiga að vera í þúsundum króna." sqref="C11:E11">
      <formula1>0</formula1>
      <formula2>15000</formula2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Forsíða</vt:lpstr>
      <vt:lpstr>Kostnaður verkáætlunar</vt:lpstr>
      <vt:lpstr>Yfirlit</vt:lpstr>
      <vt:lpstr>Rekstur</vt:lpstr>
      <vt:lpstr>Forsendur Veltu</vt:lpstr>
      <vt:lpstr>Innlend verðmæti</vt:lpstr>
      <vt:lpstr>Forsendur Innl.verðm.</vt:lpstr>
      <vt:lpstr>Lykiltölur</vt:lpstr>
    </vt:vector>
  </TitlesOfParts>
  <Company>Rannsóknamiðstöð Íslands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sigurdur</dc:creator>
  <cp:lastModifiedBy>Ólafur Rögnvaldsson</cp:lastModifiedBy>
  <cp:lastPrinted>2009-08-12T12:11:59Z</cp:lastPrinted>
  <dcterms:created xsi:type="dcterms:W3CDTF">2008-07-03T10:02:05Z</dcterms:created>
  <dcterms:modified xsi:type="dcterms:W3CDTF">2011-02-15T23:14:37Z</dcterms:modified>
</cp:coreProperties>
</file>